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2" windowHeight="8532" activeTab="0"/>
  </bookViews>
  <sheets>
    <sheet name="Calculations" sheetId="1" r:id="rId1"/>
    <sheet name="Std. Plan" sheetId="2" r:id="rId2"/>
    <sheet name="tables &amp; formulas" sheetId="3" r:id="rId3"/>
  </sheets>
  <definedNames>
    <definedName name="_xlnm.Print_Area" localSheetId="0">'Calculations'!$A$1:$S$39</definedName>
  </definedNames>
  <calcPr fullCalcOnLoad="1"/>
</workbook>
</file>

<file path=xl/sharedStrings.xml><?xml version="1.0" encoding="utf-8"?>
<sst xmlns="http://schemas.openxmlformats.org/spreadsheetml/2006/main" count="52" uniqueCount="47">
  <si>
    <t>Concrete</t>
  </si>
  <si>
    <t>ID</t>
  </si>
  <si>
    <t>HDPE</t>
  </si>
  <si>
    <t>OD+Grout (Concrete)</t>
  </si>
  <si>
    <r>
      <t>Pipe diam. of first pipe (inches), P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=  </t>
    </r>
  </si>
  <si>
    <t>CMP</t>
  </si>
  <si>
    <t>OD+Grout (CMP)</t>
  </si>
  <si>
    <t>OD+Grout (HDPE)</t>
  </si>
  <si>
    <r>
      <t>Pipe diam. of second pipe (inches), P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=  </t>
    </r>
  </si>
  <si>
    <t>Project :</t>
  </si>
  <si>
    <t>Structure Codes :</t>
  </si>
  <si>
    <t xml:space="preserve">XL0000, Route / Project Name </t>
  </si>
  <si>
    <t>KBx-xx To KBx-xx</t>
  </si>
  <si>
    <t>Notes:</t>
  </si>
  <si>
    <r>
      <t>2. Minimum grout spacing (</t>
    </r>
    <r>
      <rPr>
        <b/>
        <sz val="10"/>
        <rFont val="Arial"/>
        <family val="2"/>
      </rPr>
      <t>g</t>
    </r>
    <r>
      <rPr>
        <sz val="10"/>
        <rFont val="Arial"/>
        <family val="2"/>
      </rPr>
      <t>)</t>
    </r>
    <r>
      <rPr>
        <sz val="10"/>
        <rFont val="Arial"/>
        <family val="0"/>
      </rPr>
      <t>, is 1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/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".</t>
    </r>
  </si>
  <si>
    <t>4. Typical depth of corrugation for CMP is 1".</t>
  </si>
  <si>
    <t>Concrete Pipe</t>
  </si>
  <si>
    <t>Steps:</t>
  </si>
  <si>
    <t>Design pipe angle :</t>
  </si>
  <si>
    <r>
      <t>Pipe flowline elevation, P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</t>
    </r>
  </si>
  <si>
    <r>
      <t>Pipe flowline elevation, 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:</t>
    </r>
  </si>
  <si>
    <t>Min. Angle Between Pipes, Δ (Similar Elevations)</t>
  </si>
  <si>
    <t>Min. Angle Between Pipes, Δ (Different Elevations)</t>
  </si>
  <si>
    <t>Table A</t>
  </si>
  <si>
    <t>Table B</t>
  </si>
  <si>
    <t>Catch Basin Type 2 48" Diam. =</t>
  </si>
  <si>
    <t>Catch Basin Type 2 54" Diam. =</t>
  </si>
  <si>
    <t>Catch Basin Type 2 60" Diam. =</t>
  </si>
  <si>
    <t>Catch Basin Type 2 72" Diam. =</t>
  </si>
  <si>
    <t>Catch Basin Type 2 84" Diam. =</t>
  </si>
  <si>
    <t>Catch Basin Type 2 96" Diam. =</t>
  </si>
  <si>
    <t xml:space="preserve">    depending on catch basin diameter.</t>
  </si>
  <si>
    <r>
      <t>1. Minimum distance between knockouts (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>)</t>
    </r>
    <r>
      <rPr>
        <sz val="10"/>
        <rFont val="Arial"/>
        <family val="0"/>
      </rPr>
      <t xml:space="preserve">, is either 8" or 12" </t>
    </r>
  </si>
  <si>
    <t xml:space="preserve">    is ID (in ft.) + 1" = thickness (in inches).</t>
  </si>
  <si>
    <t xml:space="preserve">3. General rule of thumb for estimating concrete pipe wall thickness </t>
  </si>
  <si>
    <r>
      <t xml:space="preserve">6. The check in </t>
    </r>
    <r>
      <rPr>
        <b/>
        <sz val="10"/>
        <rFont val="Arial"/>
        <family val="2"/>
      </rPr>
      <t>Table A</t>
    </r>
    <r>
      <rPr>
        <sz val="10"/>
        <rFont val="Arial"/>
        <family val="0"/>
      </rPr>
      <t xml:space="preserve"> assumes that pipes enter the catch basin</t>
    </r>
  </si>
  <si>
    <r>
      <t xml:space="preserve">    (see </t>
    </r>
    <r>
      <rPr>
        <b/>
        <sz val="10"/>
        <rFont val="Arial"/>
        <family val="2"/>
      </rPr>
      <t xml:space="preserve">Pipe Detail </t>
    </r>
    <r>
      <rPr>
        <sz val="10"/>
        <rFont val="Arial"/>
        <family val="0"/>
      </rPr>
      <t>for how angle is determined).</t>
    </r>
  </si>
  <si>
    <r>
      <t xml:space="preserve">6. The check in </t>
    </r>
    <r>
      <rPr>
        <b/>
        <sz val="10"/>
        <rFont val="Arial"/>
        <family val="2"/>
      </rPr>
      <t xml:space="preserve">Table B </t>
    </r>
    <r>
      <rPr>
        <sz val="10"/>
        <rFont val="Arial"/>
        <family val="0"/>
      </rPr>
      <t>is an approximation based on a flat surface</t>
    </r>
  </si>
  <si>
    <t>Formulas Used:</t>
  </si>
  <si>
    <t xml:space="preserve">    radially and at similar elevations.</t>
  </si>
  <si>
    <t xml:space="preserve">    lower results. </t>
  </si>
  <si>
    <r>
      <t xml:space="preserve">2. Check design pipe angle against results in </t>
    </r>
    <r>
      <rPr>
        <b/>
        <sz val="10"/>
        <rFont val="Arial"/>
        <family val="2"/>
      </rPr>
      <t>Table A</t>
    </r>
    <r>
      <rPr>
        <sz val="10"/>
        <rFont val="Arial"/>
        <family val="0"/>
      </rPr>
      <t xml:space="preserve">.  Use catch basin with </t>
    </r>
  </si>
  <si>
    <t xml:space="preserve">3. If pipes enter catch basin at different elevations input the invert elevation </t>
  </si>
  <si>
    <t xml:space="preserve">    for each pipe in the designated field and check design pipe angle against </t>
  </si>
  <si>
    <r>
      <t xml:space="preserve">    results in </t>
    </r>
    <r>
      <rPr>
        <b/>
        <sz val="10"/>
        <rFont val="Arial"/>
        <family val="2"/>
      </rPr>
      <t>Table B</t>
    </r>
    <r>
      <rPr>
        <sz val="10"/>
        <rFont val="Arial"/>
        <family val="0"/>
      </rPr>
      <t xml:space="preserve">.  Use catch basin with lower results. </t>
    </r>
  </si>
  <si>
    <t>1. Input pipe diameters and design angle between pipes in designated fields.</t>
  </si>
  <si>
    <r>
      <t>5. Wall thickness (</t>
    </r>
    <r>
      <rPr>
        <b/>
        <sz val="10"/>
        <rFont val="Arial"/>
        <family val="2"/>
      </rPr>
      <t>t</t>
    </r>
    <r>
      <rPr>
        <sz val="10"/>
        <rFont val="Arial"/>
        <family val="0"/>
      </rPr>
      <t>), of catch basins varies between 4" and 8"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</si>
</sst>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0&quot; in.&quot;"/>
    <numFmt numFmtId="167" formatCode="0&quot;deg.&quot;"/>
    <numFmt numFmtId="168" formatCode="0&quot; deg.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vertAlign val="subscript"/>
      <sz val="10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vertAlign val="subscript"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vertAlign val="subscript"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166" fontId="0" fillId="0" borderId="12" xfId="0" applyNumberFormat="1" applyBorder="1" applyAlignment="1" applyProtection="1">
      <alignment horizontal="center" vertical="center"/>
      <protection locked="0"/>
    </xf>
    <xf numFmtId="166" fontId="5" fillId="0" borderId="13" xfId="0" applyNumberFormat="1" applyFont="1" applyBorder="1" applyAlignment="1" applyProtection="1">
      <alignment horizontal="center" vertical="center"/>
      <protection/>
    </xf>
    <xf numFmtId="166" fontId="0" fillId="0" borderId="14" xfId="0" applyNumberFormat="1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166" fontId="5" fillId="0" borderId="16" xfId="0" applyNumberFormat="1" applyFont="1" applyBorder="1" applyAlignment="1">
      <alignment horizontal="center" vertical="center"/>
    </xf>
    <xf numFmtId="166" fontId="5" fillId="0" borderId="17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68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/>
    </xf>
    <xf numFmtId="168" fontId="5" fillId="0" borderId="18" xfId="0" applyNumberFormat="1" applyFont="1" applyBorder="1" applyAlignment="1">
      <alignment horizontal="center" vertical="center"/>
    </xf>
    <xf numFmtId="168" fontId="5" fillId="0" borderId="19" xfId="0" applyNumberFormat="1" applyFont="1" applyBorder="1" applyAlignment="1">
      <alignment horizontal="center" vertical="center"/>
    </xf>
    <xf numFmtId="168" fontId="5" fillId="0" borderId="20" xfId="0" applyNumberFormat="1" applyFont="1" applyBorder="1" applyAlignment="1">
      <alignment horizontal="center" vertical="center"/>
    </xf>
    <xf numFmtId="168" fontId="5" fillId="0" borderId="21" xfId="0" applyNumberFormat="1" applyFont="1" applyBorder="1" applyAlignment="1">
      <alignment horizontal="center" vertical="center"/>
    </xf>
    <xf numFmtId="168" fontId="5" fillId="0" borderId="22" xfId="0" applyNumberFormat="1" applyFont="1" applyBorder="1" applyAlignment="1">
      <alignment horizontal="center" vertical="center"/>
    </xf>
    <xf numFmtId="168" fontId="5" fillId="0" borderId="23" xfId="0" applyNumberFormat="1" applyFont="1" applyBorder="1" applyAlignment="1">
      <alignment horizontal="center" vertical="center"/>
    </xf>
    <xf numFmtId="168" fontId="5" fillId="0" borderId="12" xfId="0" applyNumberFormat="1" applyFont="1" applyBorder="1" applyAlignment="1">
      <alignment horizontal="center" vertical="center"/>
    </xf>
    <xf numFmtId="168" fontId="5" fillId="0" borderId="13" xfId="0" applyNumberFormat="1" applyFont="1" applyBorder="1" applyAlignment="1">
      <alignment horizontal="center" vertical="center"/>
    </xf>
    <xf numFmtId="168" fontId="5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2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19</xdr:row>
      <xdr:rowOff>19050</xdr:rowOff>
    </xdr:from>
    <xdr:to>
      <xdr:col>12</xdr:col>
      <xdr:colOff>581025</xdr:colOff>
      <xdr:row>38</xdr:row>
      <xdr:rowOff>28575</xdr:rowOff>
    </xdr:to>
    <xdr:grpSp>
      <xdr:nvGrpSpPr>
        <xdr:cNvPr id="1" name="Group 134"/>
        <xdr:cNvGrpSpPr>
          <a:grpSpLocks/>
        </xdr:cNvGrpSpPr>
      </xdr:nvGrpSpPr>
      <xdr:grpSpPr>
        <a:xfrm>
          <a:off x="7362825" y="4895850"/>
          <a:ext cx="2962275" cy="3248025"/>
          <a:chOff x="1105" y="376"/>
          <a:chExt cx="311" cy="330"/>
        </a:xfrm>
        <a:solidFill>
          <a:srgbClr val="FFFFFF"/>
        </a:solidFill>
      </xdr:grpSpPr>
      <xdr:sp>
        <xdr:nvSpPr>
          <xdr:cNvPr id="2" name="Text Box 102"/>
          <xdr:cNvSpPr txBox="1">
            <a:spLocks noChangeArrowheads="1"/>
          </xdr:cNvSpPr>
        </xdr:nvSpPr>
        <xdr:spPr>
          <a:xfrm>
            <a:off x="1389" y="531"/>
            <a:ext cx="27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11</a:t>
            </a:r>
          </a:p>
        </xdr:txBody>
      </xdr:sp>
      <xdr:sp>
        <xdr:nvSpPr>
          <xdr:cNvPr id="3" name="AutoShape 103"/>
          <xdr:cNvSpPr>
            <a:spLocks/>
          </xdr:cNvSpPr>
        </xdr:nvSpPr>
        <xdr:spPr>
          <a:xfrm>
            <a:off x="1155" y="389"/>
            <a:ext cx="154" cy="266"/>
          </a:xfrm>
          <a:prstGeom prst="can">
            <a:avLst/>
          </a:prstGeom>
          <a:solidFill>
            <a:srgbClr val="FFFFFF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4"/>
          <xdr:cNvSpPr>
            <a:spLocks/>
          </xdr:cNvSpPr>
        </xdr:nvSpPr>
        <xdr:spPr>
          <a:xfrm>
            <a:off x="1110" y="610"/>
            <a:ext cx="40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105"/>
          <xdr:cNvSpPr txBox="1">
            <a:spLocks noChangeArrowheads="1"/>
          </xdr:cNvSpPr>
        </xdr:nvSpPr>
        <xdr:spPr>
          <a:xfrm>
            <a:off x="1108" y="627"/>
            <a:ext cx="2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6" name="Line 106"/>
          <xdr:cNvSpPr>
            <a:spLocks/>
          </xdr:cNvSpPr>
        </xdr:nvSpPr>
        <xdr:spPr>
          <a:xfrm flipV="1">
            <a:off x="1377" y="512"/>
            <a:ext cx="13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rc 107"/>
          <xdr:cNvSpPr>
            <a:spLocks/>
          </xdr:cNvSpPr>
        </xdr:nvSpPr>
        <xdr:spPr>
          <a:xfrm rot="19800000" flipV="1">
            <a:off x="1213" y="549"/>
            <a:ext cx="49" cy="9"/>
          </a:xfrm>
          <a:custGeom>
            <a:pathLst>
              <a:path fill="none" h="20916" w="19510">
                <a:moveTo>
                  <a:pt x="5393" y="0"/>
                </a:moveTo>
                <a:cubicBezTo>
                  <a:pt x="11592" y="1598"/>
                  <a:pt x="16762" y="5864"/>
                  <a:pt x="19509" y="11646"/>
                </a:cubicBezTo>
              </a:path>
              <a:path stroke="0" h="20916" w="19510">
                <a:moveTo>
                  <a:pt x="5393" y="0"/>
                </a:moveTo>
                <a:cubicBezTo>
                  <a:pt x="11592" y="1598"/>
                  <a:pt x="16762" y="5864"/>
                  <a:pt x="19509" y="11646"/>
                </a:cubicBezTo>
                <a:lnTo>
                  <a:pt x="0" y="20916"/>
                </a:lnTo>
                <a:lnTo>
                  <a:pt x="5393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108"/>
          <xdr:cNvSpPr txBox="1">
            <a:spLocks noChangeArrowheads="1"/>
          </xdr:cNvSpPr>
        </xdr:nvSpPr>
        <xdr:spPr>
          <a:xfrm>
            <a:off x="1231" y="532"/>
            <a:ext cx="2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9" name="Oval 109"/>
          <xdr:cNvSpPr>
            <a:spLocks/>
          </xdr:cNvSpPr>
        </xdr:nvSpPr>
        <xdr:spPr>
          <a:xfrm>
            <a:off x="1165" y="395"/>
            <a:ext cx="135" cy="5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10"/>
          <xdr:cNvSpPr>
            <a:spLocks/>
          </xdr:cNvSpPr>
        </xdr:nvSpPr>
        <xdr:spPr>
          <a:xfrm flipH="1">
            <a:off x="1183" y="419"/>
            <a:ext cx="47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 Box 111"/>
          <xdr:cNvSpPr txBox="1">
            <a:spLocks noChangeArrowheads="1"/>
          </xdr:cNvSpPr>
        </xdr:nvSpPr>
        <xdr:spPr>
          <a:xfrm>
            <a:off x="1201" y="406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12" name="Oval 112"/>
          <xdr:cNvSpPr>
            <a:spLocks/>
          </xdr:cNvSpPr>
        </xdr:nvSpPr>
        <xdr:spPr>
          <a:xfrm rot="8400000">
            <a:off x="1174" y="528"/>
            <a:ext cx="54" cy="87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13"/>
          <xdr:cNvSpPr>
            <a:spLocks/>
          </xdr:cNvSpPr>
        </xdr:nvSpPr>
        <xdr:spPr>
          <a:xfrm rot="13800000">
            <a:off x="1122" y="554"/>
            <a:ext cx="114" cy="72"/>
          </a:xfrm>
          <a:prstGeom prst="can">
            <a:avLst>
              <a:gd name="adj" fmla="val -5907"/>
            </a:avLst>
          </a:prstGeom>
          <a:solidFill>
            <a:srgbClr val="FFFFFF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Oval 114"/>
          <xdr:cNvSpPr>
            <a:spLocks/>
          </xdr:cNvSpPr>
        </xdr:nvSpPr>
        <xdr:spPr>
          <a:xfrm rot="900000">
            <a:off x="1261" y="467"/>
            <a:ext cx="37" cy="87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15"/>
          <xdr:cNvSpPr>
            <a:spLocks/>
          </xdr:cNvSpPr>
        </xdr:nvSpPr>
        <xdr:spPr>
          <a:xfrm rot="6300000">
            <a:off x="1259" y="485"/>
            <a:ext cx="114" cy="72"/>
          </a:xfrm>
          <a:prstGeom prst="can">
            <a:avLst/>
          </a:prstGeom>
          <a:solidFill>
            <a:srgbClr val="FFFFFF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116"/>
          <xdr:cNvSpPr>
            <a:spLocks/>
          </xdr:cNvSpPr>
        </xdr:nvSpPr>
        <xdr:spPr>
          <a:xfrm rot="900000">
            <a:off x="1348" y="504"/>
            <a:ext cx="18" cy="55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17"/>
          <xdr:cNvSpPr>
            <a:spLocks/>
          </xdr:cNvSpPr>
        </xdr:nvSpPr>
        <xdr:spPr>
          <a:xfrm rot="900000">
            <a:off x="1368" y="509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18"/>
          <xdr:cNvSpPr>
            <a:spLocks/>
          </xdr:cNvSpPr>
        </xdr:nvSpPr>
        <xdr:spPr>
          <a:xfrm rot="900000">
            <a:off x="1355" y="56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119"/>
          <xdr:cNvSpPr>
            <a:spLocks/>
          </xdr:cNvSpPr>
        </xdr:nvSpPr>
        <xdr:spPr>
          <a:xfrm rot="8400000">
            <a:off x="1135" y="581"/>
            <a:ext cx="38" cy="59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20"/>
          <xdr:cNvSpPr>
            <a:spLocks/>
          </xdr:cNvSpPr>
        </xdr:nvSpPr>
        <xdr:spPr>
          <a:xfrm rot="8400000" flipH="1">
            <a:off x="1105" y="60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121"/>
          <xdr:cNvSpPr>
            <a:spLocks/>
          </xdr:cNvSpPr>
        </xdr:nvSpPr>
        <xdr:spPr>
          <a:xfrm rot="8400000" flipH="1">
            <a:off x="1144" y="647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122"/>
          <xdr:cNvSpPr>
            <a:spLocks/>
          </xdr:cNvSpPr>
        </xdr:nvSpPr>
        <xdr:spPr>
          <a:xfrm rot="20400000">
            <a:off x="1284" y="460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123"/>
          <xdr:cNvSpPr>
            <a:spLocks/>
          </xdr:cNvSpPr>
        </xdr:nvSpPr>
        <xdr:spPr>
          <a:xfrm rot="20400000">
            <a:off x="1285" y="471"/>
            <a:ext cx="4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124"/>
          <xdr:cNvSpPr>
            <a:spLocks/>
          </xdr:cNvSpPr>
        </xdr:nvSpPr>
        <xdr:spPr>
          <a:xfrm>
            <a:off x="1323" y="437"/>
            <a:ext cx="1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125"/>
          <xdr:cNvSpPr>
            <a:spLocks/>
          </xdr:cNvSpPr>
        </xdr:nvSpPr>
        <xdr:spPr>
          <a:xfrm flipV="1">
            <a:off x="1324" y="465"/>
            <a:ext cx="1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126"/>
          <xdr:cNvSpPr txBox="1">
            <a:spLocks noChangeArrowheads="1"/>
          </xdr:cNvSpPr>
        </xdr:nvSpPr>
        <xdr:spPr>
          <a:xfrm>
            <a:off x="1334" y="440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7" name="Line 127"/>
          <xdr:cNvSpPr>
            <a:spLocks/>
          </xdr:cNvSpPr>
        </xdr:nvSpPr>
        <xdr:spPr>
          <a:xfrm rot="20400000" flipH="1">
            <a:off x="1298" y="400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128"/>
          <xdr:cNvSpPr>
            <a:spLocks/>
          </xdr:cNvSpPr>
        </xdr:nvSpPr>
        <xdr:spPr>
          <a:xfrm rot="20400000" flipH="1">
            <a:off x="1267" y="412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Text Box 129"/>
          <xdr:cNvSpPr txBox="1">
            <a:spLocks noChangeArrowheads="1"/>
          </xdr:cNvSpPr>
        </xdr:nvSpPr>
        <xdr:spPr>
          <a:xfrm>
            <a:off x="1302" y="376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</a:t>
            </a:r>
          </a:p>
        </xdr:txBody>
      </xdr:sp>
      <xdr:sp>
        <xdr:nvSpPr>
          <xdr:cNvPr id="30" name="Text Box 131"/>
          <xdr:cNvSpPr txBox="1">
            <a:spLocks noChangeArrowheads="1"/>
          </xdr:cNvSpPr>
        </xdr:nvSpPr>
        <xdr:spPr>
          <a:xfrm>
            <a:off x="1136" y="665"/>
            <a:ext cx="209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Pipes entering catch basin at different elevations</a:t>
            </a:r>
          </a:p>
        </xdr:txBody>
      </xdr:sp>
    </xdr:grpSp>
    <xdr:clientData/>
  </xdr:twoCellAnchor>
  <xdr:twoCellAnchor>
    <xdr:from>
      <xdr:col>10</xdr:col>
      <xdr:colOff>571500</xdr:colOff>
      <xdr:row>2</xdr:row>
      <xdr:rowOff>28575</xdr:rowOff>
    </xdr:from>
    <xdr:to>
      <xdr:col>18</xdr:col>
      <xdr:colOff>28575</xdr:colOff>
      <xdr:row>16</xdr:row>
      <xdr:rowOff>228600</xdr:rowOff>
    </xdr:to>
    <xdr:grpSp>
      <xdr:nvGrpSpPr>
        <xdr:cNvPr id="31" name="Group 138"/>
        <xdr:cNvGrpSpPr>
          <a:grpSpLocks/>
        </xdr:cNvGrpSpPr>
      </xdr:nvGrpSpPr>
      <xdr:grpSpPr>
        <a:xfrm>
          <a:off x="9096375" y="523875"/>
          <a:ext cx="4333875" cy="3838575"/>
          <a:chOff x="560" y="536"/>
          <a:chExt cx="455" cy="404"/>
        </a:xfrm>
        <a:solidFill>
          <a:srgbClr val="FFFFFF"/>
        </a:solidFill>
      </xdr:grpSpPr>
      <xdr:sp>
        <xdr:nvSpPr>
          <xdr:cNvPr id="32" name="Rectangle 2"/>
          <xdr:cNvSpPr>
            <a:spLocks/>
          </xdr:cNvSpPr>
        </xdr:nvSpPr>
        <xdr:spPr>
          <a:xfrm>
            <a:off x="643" y="770"/>
            <a:ext cx="138" cy="63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6"/>
          <xdr:cNvSpPr>
            <a:spLocks/>
          </xdr:cNvSpPr>
        </xdr:nvSpPr>
        <xdr:spPr>
          <a:xfrm rot="3000000">
            <a:off x="746" y="610"/>
            <a:ext cx="67" cy="12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1"/>
          <xdr:cNvSpPr>
            <a:spLocks/>
          </xdr:cNvSpPr>
        </xdr:nvSpPr>
        <xdr:spPr>
          <a:xfrm>
            <a:off x="772" y="693"/>
            <a:ext cx="227" cy="213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"/>
          <xdr:cNvSpPr>
            <a:spLocks/>
          </xdr:cNvSpPr>
        </xdr:nvSpPr>
        <xdr:spPr>
          <a:xfrm flipH="1">
            <a:off x="560" y="802"/>
            <a:ext cx="31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rc 9"/>
          <xdr:cNvSpPr>
            <a:spLocks/>
          </xdr:cNvSpPr>
        </xdr:nvSpPr>
        <xdr:spPr>
          <a:xfrm rot="13200000">
            <a:off x="861" y="792"/>
            <a:ext cx="12" cy="14"/>
          </a:xfrm>
          <a:custGeom>
            <a:pathLst>
              <a:path fill="none" h="19368" w="21600">
                <a:moveTo>
                  <a:pt x="15670" y="0"/>
                </a:moveTo>
                <a:cubicBezTo>
                  <a:pt x="19477" y="4013"/>
                  <a:pt x="21600" y="9334"/>
                  <a:pt x="21600" y="14866"/>
                </a:cubicBezTo>
                <a:cubicBezTo>
                  <a:pt x="21600" y="16379"/>
                  <a:pt x="21441" y="17888"/>
                  <a:pt x="21125" y="19367"/>
                </a:cubicBezTo>
              </a:path>
              <a:path stroke="0" h="19368" w="21600">
                <a:moveTo>
                  <a:pt x="15670" y="0"/>
                </a:moveTo>
                <a:cubicBezTo>
                  <a:pt x="19477" y="4013"/>
                  <a:pt x="21600" y="9334"/>
                  <a:pt x="21600" y="14866"/>
                </a:cubicBezTo>
                <a:cubicBezTo>
                  <a:pt x="21600" y="16379"/>
                  <a:pt x="21441" y="17888"/>
                  <a:pt x="21125" y="19367"/>
                </a:cubicBezTo>
                <a:lnTo>
                  <a:pt x="0" y="14866"/>
                </a:lnTo>
                <a:lnTo>
                  <a:pt x="1567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 Box 11"/>
          <xdr:cNvSpPr txBox="1">
            <a:spLocks noChangeArrowheads="1"/>
          </xdr:cNvSpPr>
        </xdr:nvSpPr>
        <xdr:spPr>
          <a:xfrm>
            <a:off x="731" y="726"/>
            <a:ext cx="29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38" name="Text Box 12"/>
          <xdr:cNvSpPr txBox="1">
            <a:spLocks noChangeArrowheads="1"/>
          </xdr:cNvSpPr>
        </xdr:nvSpPr>
        <xdr:spPr>
          <a:xfrm>
            <a:off x="833" y="767"/>
            <a:ext cx="34" cy="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32004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Δ</a:t>
            </a:r>
          </a:p>
        </xdr:txBody>
      </xdr:sp>
      <xdr:sp>
        <xdr:nvSpPr>
          <xdr:cNvPr id="39" name="Line 14"/>
          <xdr:cNvSpPr>
            <a:spLocks/>
          </xdr:cNvSpPr>
        </xdr:nvSpPr>
        <xdr:spPr>
          <a:xfrm rot="3000000" flipH="1">
            <a:off x="705" y="610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15"/>
          <xdr:cNvSpPr>
            <a:spLocks/>
          </xdr:cNvSpPr>
        </xdr:nvSpPr>
        <xdr:spPr>
          <a:xfrm rot="3000000" flipH="1">
            <a:off x="745" y="578"/>
            <a:ext cx="0" cy="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17"/>
          <xdr:cNvSpPr>
            <a:spLocks/>
          </xdr:cNvSpPr>
        </xdr:nvSpPr>
        <xdr:spPr>
          <a:xfrm rot="8400000" flipH="1">
            <a:off x="696" y="6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24"/>
          <xdr:cNvSpPr>
            <a:spLocks/>
          </xdr:cNvSpPr>
        </xdr:nvSpPr>
        <xdr:spPr>
          <a:xfrm flipH="1">
            <a:off x="604" y="825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25"/>
          <xdr:cNvSpPr>
            <a:spLocks/>
          </xdr:cNvSpPr>
        </xdr:nvSpPr>
        <xdr:spPr>
          <a:xfrm flipH="1">
            <a:off x="604" y="776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26"/>
          <xdr:cNvSpPr>
            <a:spLocks/>
          </xdr:cNvSpPr>
        </xdr:nvSpPr>
        <xdr:spPr>
          <a:xfrm flipV="1">
            <a:off x="611" y="776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Text Box 27"/>
          <xdr:cNvSpPr txBox="1">
            <a:spLocks noChangeArrowheads="1"/>
          </xdr:cNvSpPr>
        </xdr:nvSpPr>
        <xdr:spPr>
          <a:xfrm>
            <a:off x="908" y="740"/>
            <a:ext cx="27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46" name="Text Box 28"/>
          <xdr:cNvSpPr txBox="1">
            <a:spLocks noChangeArrowheads="1"/>
          </xdr:cNvSpPr>
        </xdr:nvSpPr>
        <xdr:spPr>
          <a:xfrm>
            <a:off x="584" y="774"/>
            <a:ext cx="31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47" name="Text Box 29"/>
          <xdr:cNvSpPr txBox="1">
            <a:spLocks noChangeArrowheads="1"/>
          </xdr:cNvSpPr>
        </xdr:nvSpPr>
        <xdr:spPr>
          <a:xfrm>
            <a:off x="707" y="566"/>
            <a:ext cx="35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48" name="Line 34"/>
          <xdr:cNvSpPr>
            <a:spLocks/>
          </xdr:cNvSpPr>
        </xdr:nvSpPr>
        <xdr:spPr>
          <a:xfrm rot="1320000" flipH="1">
            <a:off x="752" y="737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35"/>
          <xdr:cNvSpPr>
            <a:spLocks/>
          </xdr:cNvSpPr>
        </xdr:nvSpPr>
        <xdr:spPr>
          <a:xfrm rot="1320000" flipH="1">
            <a:off x="741" y="761"/>
            <a:ext cx="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6"/>
          <xdr:cNvSpPr>
            <a:spLocks/>
          </xdr:cNvSpPr>
        </xdr:nvSpPr>
        <xdr:spPr>
          <a:xfrm flipV="1">
            <a:off x="748" y="733"/>
            <a:ext cx="12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59"/>
          <xdr:cNvSpPr>
            <a:spLocks/>
          </xdr:cNvSpPr>
        </xdr:nvSpPr>
        <xdr:spPr>
          <a:xfrm>
            <a:off x="782" y="703"/>
            <a:ext cx="208" cy="194"/>
          </a:xfrm>
          <a:prstGeom prst="flowChartConnector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62"/>
          <xdr:cNvSpPr>
            <a:spLocks/>
          </xdr:cNvSpPr>
        </xdr:nvSpPr>
        <xdr:spPr>
          <a:xfrm flipV="1">
            <a:off x="879" y="733"/>
            <a:ext cx="78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8"/>
          <xdr:cNvSpPr>
            <a:spLocks/>
          </xdr:cNvSpPr>
        </xdr:nvSpPr>
        <xdr:spPr>
          <a:xfrm>
            <a:off x="876" y="798"/>
            <a:ext cx="8" cy="8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7"/>
          <xdr:cNvSpPr>
            <a:spLocks/>
          </xdr:cNvSpPr>
        </xdr:nvSpPr>
        <xdr:spPr>
          <a:xfrm rot="3000000" flipH="1">
            <a:off x="790" y="536"/>
            <a:ext cx="0" cy="299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77"/>
          <xdr:cNvSpPr>
            <a:spLocks/>
          </xdr:cNvSpPr>
        </xdr:nvSpPr>
        <xdr:spPr>
          <a:xfrm>
            <a:off x="643" y="777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78"/>
          <xdr:cNvSpPr>
            <a:spLocks/>
          </xdr:cNvSpPr>
        </xdr:nvSpPr>
        <xdr:spPr>
          <a:xfrm>
            <a:off x="644" y="824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83"/>
          <xdr:cNvSpPr>
            <a:spLocks/>
          </xdr:cNvSpPr>
        </xdr:nvSpPr>
        <xdr:spPr>
          <a:xfrm rot="3000000">
            <a:off x="799" y="595"/>
            <a:ext cx="0" cy="12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84"/>
          <xdr:cNvSpPr>
            <a:spLocks/>
          </xdr:cNvSpPr>
        </xdr:nvSpPr>
        <xdr:spPr>
          <a:xfrm rot="3000000">
            <a:off x="758" y="630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96"/>
          <xdr:cNvSpPr>
            <a:spLocks/>
          </xdr:cNvSpPr>
        </xdr:nvSpPr>
        <xdr:spPr>
          <a:xfrm rot="1800000">
            <a:off x="986" y="855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97"/>
          <xdr:cNvSpPr>
            <a:spLocks/>
          </xdr:cNvSpPr>
        </xdr:nvSpPr>
        <xdr:spPr>
          <a:xfrm rot="1800000">
            <a:off x="952" y="835"/>
            <a:ext cx="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Text Box 98"/>
          <xdr:cNvSpPr txBox="1">
            <a:spLocks noChangeArrowheads="1"/>
          </xdr:cNvSpPr>
        </xdr:nvSpPr>
        <xdr:spPr>
          <a:xfrm>
            <a:off x="960" y="811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</a:t>
            </a:r>
          </a:p>
        </xdr:txBody>
      </xdr:sp>
      <xdr:sp>
        <xdr:nvSpPr>
          <xdr:cNvPr id="62" name="Text Box 137"/>
          <xdr:cNvSpPr txBox="1">
            <a:spLocks noChangeArrowheads="1"/>
          </xdr:cNvSpPr>
        </xdr:nvSpPr>
        <xdr:spPr>
          <a:xfrm>
            <a:off x="823" y="914"/>
            <a:ext cx="135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 View</a:t>
            </a:r>
          </a:p>
        </xdr:txBody>
      </xdr:sp>
    </xdr:grpSp>
    <xdr:clientData/>
  </xdr:twoCellAnchor>
  <xdr:twoCellAnchor>
    <xdr:from>
      <xdr:col>3</xdr:col>
      <xdr:colOff>323850</xdr:colOff>
      <xdr:row>21</xdr:row>
      <xdr:rowOff>38100</xdr:rowOff>
    </xdr:from>
    <xdr:to>
      <xdr:col>8</xdr:col>
      <xdr:colOff>219075</xdr:colOff>
      <xdr:row>37</xdr:row>
      <xdr:rowOff>57150</xdr:rowOff>
    </xdr:to>
    <xdr:grpSp>
      <xdr:nvGrpSpPr>
        <xdr:cNvPr id="63" name="Group 171"/>
        <xdr:cNvGrpSpPr>
          <a:grpSpLocks/>
        </xdr:cNvGrpSpPr>
      </xdr:nvGrpSpPr>
      <xdr:grpSpPr>
        <a:xfrm>
          <a:off x="4286250" y="5324475"/>
          <a:ext cx="3133725" cy="2686050"/>
          <a:chOff x="450" y="559"/>
          <a:chExt cx="329" cy="282"/>
        </a:xfrm>
        <a:solidFill>
          <a:srgbClr val="FFFFFF"/>
        </a:solidFill>
      </xdr:grpSpPr>
      <xdr:sp>
        <xdr:nvSpPr>
          <xdr:cNvPr id="64" name="Oval 139"/>
          <xdr:cNvSpPr>
            <a:spLocks/>
          </xdr:cNvSpPr>
        </xdr:nvSpPr>
        <xdr:spPr>
          <a:xfrm>
            <a:off x="562" y="701"/>
            <a:ext cx="67" cy="6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Oval 140"/>
          <xdr:cNvSpPr>
            <a:spLocks/>
          </xdr:cNvSpPr>
        </xdr:nvSpPr>
        <xdr:spPr>
          <a:xfrm>
            <a:off x="622" y="559"/>
            <a:ext cx="125" cy="125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141"/>
          <xdr:cNvSpPr>
            <a:spLocks/>
          </xdr:cNvSpPr>
        </xdr:nvSpPr>
        <xdr:spPr>
          <a:xfrm rot="21300000" flipV="1">
            <a:off x="614" y="671"/>
            <a:ext cx="36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142"/>
          <xdr:cNvSpPr>
            <a:spLocks/>
          </xdr:cNvSpPr>
        </xdr:nvSpPr>
        <xdr:spPr>
          <a:xfrm>
            <a:off x="596" y="770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143"/>
          <xdr:cNvSpPr>
            <a:spLocks/>
          </xdr:cNvSpPr>
        </xdr:nvSpPr>
        <xdr:spPr>
          <a:xfrm>
            <a:off x="686" y="685"/>
            <a:ext cx="1" cy="1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144"/>
          <xdr:cNvSpPr>
            <a:spLocks/>
          </xdr:cNvSpPr>
        </xdr:nvSpPr>
        <xdr:spPr>
          <a:xfrm flipH="1">
            <a:off x="532" y="759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145"/>
          <xdr:cNvSpPr>
            <a:spLocks/>
          </xdr:cNvSpPr>
        </xdr:nvSpPr>
        <xdr:spPr>
          <a:xfrm flipH="1">
            <a:off x="533" y="673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146"/>
          <xdr:cNvSpPr>
            <a:spLocks/>
          </xdr:cNvSpPr>
        </xdr:nvSpPr>
        <xdr:spPr>
          <a:xfrm>
            <a:off x="537" y="721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147"/>
          <xdr:cNvSpPr>
            <a:spLocks/>
          </xdr:cNvSpPr>
        </xdr:nvSpPr>
        <xdr:spPr>
          <a:xfrm flipV="1">
            <a:off x="537" y="673"/>
            <a:ext cx="0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148"/>
          <xdr:cNvSpPr>
            <a:spLocks/>
          </xdr:cNvSpPr>
        </xdr:nvSpPr>
        <xdr:spPr>
          <a:xfrm>
            <a:off x="596" y="783"/>
            <a:ext cx="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149"/>
          <xdr:cNvSpPr>
            <a:spLocks/>
          </xdr:cNvSpPr>
        </xdr:nvSpPr>
        <xdr:spPr>
          <a:xfrm flipV="1">
            <a:off x="740" y="585"/>
            <a:ext cx="17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150"/>
          <xdr:cNvSpPr>
            <a:spLocks/>
          </xdr:cNvSpPr>
        </xdr:nvSpPr>
        <xdr:spPr>
          <a:xfrm flipV="1">
            <a:off x="568" y="764"/>
            <a:ext cx="1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151"/>
          <xdr:cNvSpPr txBox="1">
            <a:spLocks noChangeArrowheads="1"/>
          </xdr:cNvSpPr>
        </xdr:nvSpPr>
        <xdr:spPr>
          <a:xfrm>
            <a:off x="450" y="700"/>
            <a:ext cx="1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Invert difference
</a:t>
            </a:r>
          </a:p>
        </xdr:txBody>
      </xdr:sp>
      <xdr:sp>
        <xdr:nvSpPr>
          <xdr:cNvPr id="77" name="Oval 152"/>
          <xdr:cNvSpPr>
            <a:spLocks/>
          </xdr:cNvSpPr>
        </xdr:nvSpPr>
        <xdr:spPr>
          <a:xfrm>
            <a:off x="629" y="566"/>
            <a:ext cx="110" cy="110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153"/>
          <xdr:cNvSpPr>
            <a:spLocks/>
          </xdr:cNvSpPr>
        </xdr:nvSpPr>
        <xdr:spPr>
          <a:xfrm>
            <a:off x="569" y="708"/>
            <a:ext cx="53" cy="53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154"/>
          <xdr:cNvSpPr txBox="1">
            <a:spLocks noChangeArrowheads="1"/>
          </xdr:cNvSpPr>
        </xdr:nvSpPr>
        <xdr:spPr>
          <a:xfrm>
            <a:off x="553" y="770"/>
            <a:ext cx="2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80" name="Text Box 155"/>
          <xdr:cNvSpPr txBox="1">
            <a:spLocks noChangeArrowheads="1"/>
          </xdr:cNvSpPr>
        </xdr:nvSpPr>
        <xdr:spPr>
          <a:xfrm>
            <a:off x="757" y="568"/>
            <a:ext cx="2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81" name="Text Box 156"/>
          <xdr:cNvSpPr txBox="1">
            <a:spLocks noChangeArrowheads="1"/>
          </xdr:cNvSpPr>
        </xdr:nvSpPr>
        <xdr:spPr>
          <a:xfrm>
            <a:off x="614" y="766"/>
            <a:ext cx="57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Arc Length</a:t>
            </a:r>
          </a:p>
        </xdr:txBody>
      </xdr:sp>
      <xdr:sp>
        <xdr:nvSpPr>
          <xdr:cNvPr id="82" name="Text Box 157"/>
          <xdr:cNvSpPr txBox="1">
            <a:spLocks noChangeArrowheads="1"/>
          </xdr:cNvSpPr>
        </xdr:nvSpPr>
        <xdr:spPr>
          <a:xfrm>
            <a:off x="575" y="676"/>
            <a:ext cx="5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 (min.)</a:t>
            </a:r>
          </a:p>
        </xdr:txBody>
      </xdr:sp>
      <xdr:sp>
        <xdr:nvSpPr>
          <xdr:cNvPr id="83" name="Line 159"/>
          <xdr:cNvSpPr>
            <a:spLocks/>
          </xdr:cNvSpPr>
        </xdr:nvSpPr>
        <xdr:spPr>
          <a:xfrm flipV="1">
            <a:off x="685" y="568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60"/>
          <xdr:cNvSpPr txBox="1">
            <a:spLocks noChangeArrowheads="1"/>
          </xdr:cNvSpPr>
        </xdr:nvSpPr>
        <xdr:spPr>
          <a:xfrm>
            <a:off x="664" y="606"/>
            <a:ext cx="2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ID</a:t>
            </a:r>
          </a:p>
        </xdr:txBody>
      </xdr:sp>
      <xdr:sp>
        <xdr:nvSpPr>
          <xdr:cNvPr id="85" name="Text Box 161"/>
          <xdr:cNvSpPr txBox="1">
            <a:spLocks noChangeArrowheads="1"/>
          </xdr:cNvSpPr>
        </xdr:nvSpPr>
        <xdr:spPr>
          <a:xfrm>
            <a:off x="575" y="724"/>
            <a:ext cx="2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ID</a:t>
            </a:r>
          </a:p>
        </xdr:txBody>
      </xdr:sp>
      <xdr:sp>
        <xdr:nvSpPr>
          <xdr:cNvPr id="86" name="Line 162"/>
          <xdr:cNvSpPr>
            <a:spLocks/>
          </xdr:cNvSpPr>
        </xdr:nvSpPr>
        <xdr:spPr>
          <a:xfrm flipV="1">
            <a:off x="595" y="70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166"/>
          <xdr:cNvSpPr>
            <a:spLocks/>
          </xdr:cNvSpPr>
        </xdr:nvSpPr>
        <xdr:spPr>
          <a:xfrm>
            <a:off x="595" y="815"/>
            <a:ext cx="104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Pipe Detail</a:t>
            </a:r>
          </a:p>
        </xdr:txBody>
      </xdr:sp>
    </xdr:grpSp>
    <xdr:clientData/>
  </xdr:twoCellAnchor>
  <xdr:twoCellAnchor>
    <xdr:from>
      <xdr:col>13</xdr:col>
      <xdr:colOff>104775</xdr:colOff>
      <xdr:row>19</xdr:row>
      <xdr:rowOff>28575</xdr:rowOff>
    </xdr:from>
    <xdr:to>
      <xdr:col>19</xdr:col>
      <xdr:colOff>0</xdr:colOff>
      <xdr:row>38</xdr:row>
      <xdr:rowOff>57150</xdr:rowOff>
    </xdr:to>
    <xdr:grpSp>
      <xdr:nvGrpSpPr>
        <xdr:cNvPr id="88" name="Group 173"/>
        <xdr:cNvGrpSpPr>
          <a:grpSpLocks/>
        </xdr:cNvGrpSpPr>
      </xdr:nvGrpSpPr>
      <xdr:grpSpPr>
        <a:xfrm>
          <a:off x="10458450" y="4905375"/>
          <a:ext cx="3552825" cy="3267075"/>
          <a:chOff x="778" y="514"/>
          <a:chExt cx="373" cy="343"/>
        </a:xfrm>
        <a:solidFill>
          <a:srgbClr val="FFFFFF"/>
        </a:solidFill>
      </xdr:grpSpPr>
      <xdr:sp>
        <xdr:nvSpPr>
          <xdr:cNvPr id="89" name="Text Box 52"/>
          <xdr:cNvSpPr txBox="1">
            <a:spLocks noChangeArrowheads="1"/>
          </xdr:cNvSpPr>
        </xdr:nvSpPr>
        <xdr:spPr>
          <a:xfrm>
            <a:off x="1120" y="701"/>
            <a:ext cx="3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90" name="AutoShape 4"/>
          <xdr:cNvSpPr>
            <a:spLocks/>
          </xdr:cNvSpPr>
        </xdr:nvSpPr>
        <xdr:spPr>
          <a:xfrm>
            <a:off x="882" y="527"/>
            <a:ext cx="159" cy="274"/>
          </a:xfrm>
          <a:prstGeom prst="can">
            <a:avLst/>
          </a:prstGeom>
          <a:solidFill>
            <a:srgbClr val="FFFFFF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47"/>
          <xdr:cNvSpPr>
            <a:spLocks/>
          </xdr:cNvSpPr>
        </xdr:nvSpPr>
        <xdr:spPr>
          <a:xfrm>
            <a:off x="797" y="683"/>
            <a:ext cx="16" cy="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48"/>
          <xdr:cNvSpPr txBox="1">
            <a:spLocks noChangeArrowheads="1"/>
          </xdr:cNvSpPr>
        </xdr:nvSpPr>
        <xdr:spPr>
          <a:xfrm>
            <a:off x="778" y="697"/>
            <a:ext cx="31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93" name="Line 51"/>
          <xdr:cNvSpPr>
            <a:spLocks/>
          </xdr:cNvSpPr>
        </xdr:nvSpPr>
        <xdr:spPr>
          <a:xfrm flipV="1">
            <a:off x="1112" y="683"/>
            <a:ext cx="13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54"/>
          <xdr:cNvSpPr txBox="1">
            <a:spLocks noChangeArrowheads="1"/>
          </xdr:cNvSpPr>
        </xdr:nvSpPr>
        <xdr:spPr>
          <a:xfrm>
            <a:off x="953" y="673"/>
            <a:ext cx="22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95" name="Oval 55"/>
          <xdr:cNvSpPr>
            <a:spLocks/>
          </xdr:cNvSpPr>
        </xdr:nvSpPr>
        <xdr:spPr>
          <a:xfrm>
            <a:off x="892" y="534"/>
            <a:ext cx="139" cy="5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56"/>
          <xdr:cNvSpPr>
            <a:spLocks/>
          </xdr:cNvSpPr>
        </xdr:nvSpPr>
        <xdr:spPr>
          <a:xfrm flipH="1">
            <a:off x="911" y="558"/>
            <a:ext cx="48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Text Box 57"/>
          <xdr:cNvSpPr txBox="1">
            <a:spLocks noChangeArrowheads="1"/>
          </xdr:cNvSpPr>
        </xdr:nvSpPr>
        <xdr:spPr>
          <a:xfrm>
            <a:off x="929" y="54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98" name="Oval 67"/>
          <xdr:cNvSpPr>
            <a:spLocks/>
          </xdr:cNvSpPr>
        </xdr:nvSpPr>
        <xdr:spPr>
          <a:xfrm rot="9900000">
            <a:off x="892" y="637"/>
            <a:ext cx="38" cy="90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8"/>
          <xdr:cNvSpPr>
            <a:spLocks/>
          </xdr:cNvSpPr>
        </xdr:nvSpPr>
        <xdr:spPr>
          <a:xfrm rot="15300000">
            <a:off x="814" y="655"/>
            <a:ext cx="118" cy="74"/>
          </a:xfrm>
          <a:prstGeom prst="can">
            <a:avLst/>
          </a:prstGeom>
          <a:solidFill>
            <a:srgbClr val="FFFFFF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Oval 68"/>
          <xdr:cNvSpPr>
            <a:spLocks/>
          </xdr:cNvSpPr>
        </xdr:nvSpPr>
        <xdr:spPr>
          <a:xfrm rot="900000">
            <a:off x="992" y="637"/>
            <a:ext cx="38" cy="90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5"/>
          <xdr:cNvSpPr>
            <a:spLocks/>
          </xdr:cNvSpPr>
        </xdr:nvSpPr>
        <xdr:spPr>
          <a:xfrm rot="6300000">
            <a:off x="990" y="656"/>
            <a:ext cx="118" cy="74"/>
          </a:xfrm>
          <a:prstGeom prst="can">
            <a:avLst/>
          </a:prstGeom>
          <a:solidFill>
            <a:srgbClr val="FFFFFF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43"/>
          <xdr:cNvSpPr>
            <a:spLocks/>
          </xdr:cNvSpPr>
        </xdr:nvSpPr>
        <xdr:spPr>
          <a:xfrm rot="900000">
            <a:off x="1082" y="675"/>
            <a:ext cx="19" cy="5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49"/>
          <xdr:cNvSpPr>
            <a:spLocks/>
          </xdr:cNvSpPr>
        </xdr:nvSpPr>
        <xdr:spPr>
          <a:xfrm rot="900000">
            <a:off x="1103" y="680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50"/>
          <xdr:cNvSpPr>
            <a:spLocks/>
          </xdr:cNvSpPr>
        </xdr:nvSpPr>
        <xdr:spPr>
          <a:xfrm rot="900000">
            <a:off x="1089" y="735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42"/>
          <xdr:cNvSpPr>
            <a:spLocks/>
          </xdr:cNvSpPr>
        </xdr:nvSpPr>
        <xdr:spPr>
          <a:xfrm rot="9900000">
            <a:off x="820" y="674"/>
            <a:ext cx="20" cy="57"/>
          </a:xfrm>
          <a:prstGeom prst="ellips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45"/>
          <xdr:cNvSpPr>
            <a:spLocks/>
          </xdr:cNvSpPr>
        </xdr:nvSpPr>
        <xdr:spPr>
          <a:xfrm rot="9900000" flipH="1">
            <a:off x="790" y="680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46"/>
          <xdr:cNvSpPr>
            <a:spLocks/>
          </xdr:cNvSpPr>
        </xdr:nvSpPr>
        <xdr:spPr>
          <a:xfrm rot="9900000" flipH="1">
            <a:off x="807" y="735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69"/>
          <xdr:cNvSpPr>
            <a:spLocks/>
          </xdr:cNvSpPr>
        </xdr:nvSpPr>
        <xdr:spPr>
          <a:xfrm rot="20400000">
            <a:off x="1016" y="630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70"/>
          <xdr:cNvSpPr>
            <a:spLocks/>
          </xdr:cNvSpPr>
        </xdr:nvSpPr>
        <xdr:spPr>
          <a:xfrm rot="20400000">
            <a:off x="1017" y="641"/>
            <a:ext cx="5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71"/>
          <xdr:cNvSpPr>
            <a:spLocks/>
          </xdr:cNvSpPr>
        </xdr:nvSpPr>
        <xdr:spPr>
          <a:xfrm>
            <a:off x="1056" y="606"/>
            <a:ext cx="1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72"/>
          <xdr:cNvSpPr>
            <a:spLocks/>
          </xdr:cNvSpPr>
        </xdr:nvSpPr>
        <xdr:spPr>
          <a:xfrm flipV="1">
            <a:off x="1057" y="635"/>
            <a:ext cx="1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Text Box 73"/>
          <xdr:cNvSpPr txBox="1">
            <a:spLocks noChangeArrowheads="1"/>
          </xdr:cNvSpPr>
        </xdr:nvSpPr>
        <xdr:spPr>
          <a:xfrm>
            <a:off x="1064" y="612"/>
            <a:ext cx="2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113" name="Line 93"/>
          <xdr:cNvSpPr>
            <a:spLocks/>
          </xdr:cNvSpPr>
        </xdr:nvSpPr>
        <xdr:spPr>
          <a:xfrm rot="20400000" flipH="1">
            <a:off x="1029" y="539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94"/>
          <xdr:cNvSpPr>
            <a:spLocks/>
          </xdr:cNvSpPr>
        </xdr:nvSpPr>
        <xdr:spPr>
          <a:xfrm rot="20400000" flipH="1">
            <a:off x="997" y="551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Text Box 95"/>
          <xdr:cNvSpPr txBox="1">
            <a:spLocks noChangeArrowheads="1"/>
          </xdr:cNvSpPr>
        </xdr:nvSpPr>
        <xdr:spPr>
          <a:xfrm>
            <a:off x="1034" y="514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2004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</a:t>
            </a:r>
          </a:p>
        </xdr:txBody>
      </xdr:sp>
      <xdr:sp>
        <xdr:nvSpPr>
          <xdr:cNvPr id="116" name="Text Box 130"/>
          <xdr:cNvSpPr txBox="1">
            <a:spLocks noChangeArrowheads="1"/>
          </xdr:cNvSpPr>
        </xdr:nvSpPr>
        <xdr:spPr>
          <a:xfrm>
            <a:off x="864" y="814"/>
            <a:ext cx="20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Pipes entering catch basin at similar elevations</a:t>
            </a:r>
          </a:p>
        </xdr:txBody>
      </xdr:sp>
      <xdr:sp>
        <xdr:nvSpPr>
          <xdr:cNvPr id="117" name="Arc 53"/>
          <xdr:cNvSpPr>
            <a:spLocks/>
          </xdr:cNvSpPr>
        </xdr:nvSpPr>
        <xdr:spPr>
          <a:xfrm rot="240000" flipV="1">
            <a:off x="933" y="687"/>
            <a:ext cx="58" cy="9"/>
          </a:xfrm>
          <a:custGeom>
            <a:pathLst>
              <a:path fill="none" h="21600" w="22293">
                <a:moveTo>
                  <a:pt x="-1" y="272"/>
                </a:moveTo>
                <a:cubicBezTo>
                  <a:pt x="1131" y="91"/>
                  <a:pt x="2275" y="0"/>
                  <a:pt x="3421" y="0"/>
                </a:cubicBezTo>
                <a:cubicBezTo>
                  <a:pt x="11258" y="0"/>
                  <a:pt x="18480" y="4245"/>
                  <a:pt x="22293" y="11092"/>
                </a:cubicBezTo>
              </a:path>
              <a:path stroke="0" h="21600" w="22293">
                <a:moveTo>
                  <a:pt x="-1" y="272"/>
                </a:moveTo>
                <a:cubicBezTo>
                  <a:pt x="1131" y="91"/>
                  <a:pt x="2275" y="0"/>
                  <a:pt x="3421" y="0"/>
                </a:cubicBezTo>
                <a:cubicBezTo>
                  <a:pt x="11258" y="0"/>
                  <a:pt x="18480" y="4245"/>
                  <a:pt x="22293" y="11092"/>
                </a:cubicBezTo>
                <a:lnTo>
                  <a:pt x="3421" y="21600"/>
                </a:lnTo>
                <a:lnTo>
                  <a:pt x="-1" y="272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76200</xdr:colOff>
      <xdr:row>32</xdr:row>
      <xdr:rowOff>0</xdr:rowOff>
    </xdr:to>
    <xdr:grpSp>
      <xdr:nvGrpSpPr>
        <xdr:cNvPr id="1" name="Group 4"/>
        <xdr:cNvGrpSpPr>
          <a:grpSpLocks noChangeAspect="1"/>
        </xdr:cNvGrpSpPr>
      </xdr:nvGrpSpPr>
      <xdr:grpSpPr>
        <a:xfrm>
          <a:off x="0" y="0"/>
          <a:ext cx="8001000" cy="5181600"/>
          <a:chOff x="0" y="0"/>
          <a:chExt cx="840" cy="544"/>
        </a:xfrm>
        <a:solidFill>
          <a:srgbClr val="FFFFFF"/>
        </a:solidFill>
      </xdr:grpSpPr>
      <xdr:sp>
        <xdr:nvSpPr>
          <xdr:cNvPr id="2" name="AutoShape 3"/>
          <xdr:cNvSpPr>
            <a:spLocks noChangeAspect="1"/>
          </xdr:cNvSpPr>
        </xdr:nvSpPr>
        <xdr:spPr>
          <a:xfrm>
            <a:off x="0" y="0"/>
            <a:ext cx="840" cy="5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840" cy="5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11</xdr:row>
      <xdr:rowOff>0</xdr:rowOff>
    </xdr:from>
    <xdr:to>
      <xdr:col>11</xdr:col>
      <xdr:colOff>190500</xdr:colOff>
      <xdr:row>48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781175"/>
          <a:ext cx="3495675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14</xdr:row>
      <xdr:rowOff>28575</xdr:rowOff>
    </xdr:from>
    <xdr:to>
      <xdr:col>14</xdr:col>
      <xdr:colOff>419100</xdr:colOff>
      <xdr:row>17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295525"/>
          <a:ext cx="1295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8.00390625" style="2" bestFit="1" customWidth="1"/>
    <col min="2" max="5" width="10.7109375" style="0" customWidth="1"/>
    <col min="6" max="6" width="5.7109375" style="0" customWidth="1"/>
    <col min="7" max="9" width="10.7109375" style="0" customWidth="1"/>
  </cols>
  <sheetData>
    <row r="1" spans="1:2" ht="19.5" customHeight="1">
      <c r="A1" s="13" t="s">
        <v>9</v>
      </c>
      <c r="B1" s="18" t="s">
        <v>11</v>
      </c>
    </row>
    <row r="2" spans="1:2" ht="19.5" customHeight="1">
      <c r="A2" s="6" t="s">
        <v>10</v>
      </c>
      <c r="B2" s="19" t="s">
        <v>12</v>
      </c>
    </row>
    <row r="3" spans="1:6" ht="19.5" customHeight="1">
      <c r="A3" s="6" t="s">
        <v>18</v>
      </c>
      <c r="B3" s="20">
        <v>55</v>
      </c>
      <c r="E3" s="6"/>
      <c r="F3" s="20"/>
    </row>
    <row r="4" spans="1:6" ht="19.5" customHeight="1">
      <c r="A4" s="6" t="s">
        <v>19</v>
      </c>
      <c r="B4" s="35">
        <v>50</v>
      </c>
      <c r="E4" s="6"/>
      <c r="F4" s="20"/>
    </row>
    <row r="5" spans="1:6" ht="19.5" customHeight="1">
      <c r="A5" s="6" t="s">
        <v>20</v>
      </c>
      <c r="B5" s="36">
        <v>47</v>
      </c>
      <c r="E5" s="6"/>
      <c r="F5" s="20"/>
    </row>
    <row r="6" ht="12" customHeight="1" thickBot="1">
      <c r="A6" s="6"/>
    </row>
    <row r="7" spans="2:5" ht="30" customHeight="1" thickBot="1">
      <c r="B7" s="5" t="s">
        <v>1</v>
      </c>
      <c r="C7" s="3" t="s">
        <v>3</v>
      </c>
      <c r="D7" s="3" t="s">
        <v>6</v>
      </c>
      <c r="E7" s="3" t="s">
        <v>7</v>
      </c>
    </row>
    <row r="8" spans="1:5" s="7" customFormat="1" ht="19.5" customHeight="1">
      <c r="A8" s="6" t="s">
        <v>4</v>
      </c>
      <c r="B8" s="11">
        <v>12</v>
      </c>
      <c r="C8" s="12">
        <f>HLOOKUP(B8,'tables &amp; formulas'!A2:M3,2,FALSE)</f>
        <v>19</v>
      </c>
      <c r="D8" s="12">
        <f>B8+3+2</f>
        <v>17</v>
      </c>
      <c r="E8" s="16">
        <f>HLOOKUP(B8,'tables &amp; formulas'!A6:G7,2,FALSE)</f>
        <v>17.5</v>
      </c>
    </row>
    <row r="9" spans="1:5" s="7" customFormat="1" ht="19.5" customHeight="1" thickBot="1">
      <c r="A9" s="6" t="s">
        <v>8</v>
      </c>
      <c r="B9" s="9">
        <v>36</v>
      </c>
      <c r="C9" s="10">
        <f>HLOOKUP(B9,'tables &amp; formulas'!A2:M3,2,FALSE)</f>
        <v>47</v>
      </c>
      <c r="D9" s="10">
        <f>B9+3+2</f>
        <v>41</v>
      </c>
      <c r="E9" s="17">
        <f>HLOOKUP(B9,'tables &amp; formulas'!A6:G7,2,FALSE)</f>
        <v>45</v>
      </c>
    </row>
    <row r="10" spans="1:8" ht="19.5" customHeight="1" thickBot="1">
      <c r="A10" s="1"/>
      <c r="D10" s="37" t="s">
        <v>23</v>
      </c>
      <c r="H10" s="37" t="s">
        <v>24</v>
      </c>
    </row>
    <row r="11" spans="1:9" ht="30" customHeight="1" thickBot="1">
      <c r="A11" s="1"/>
      <c r="C11" s="38" t="s">
        <v>21</v>
      </c>
      <c r="D11" s="39"/>
      <c r="E11" s="40"/>
      <c r="F11" s="8"/>
      <c r="G11" s="38" t="s">
        <v>22</v>
      </c>
      <c r="H11" s="39"/>
      <c r="I11" s="40"/>
    </row>
    <row r="12" spans="3:9" ht="19.5" customHeight="1" thickBot="1">
      <c r="C12" s="4" t="s">
        <v>0</v>
      </c>
      <c r="D12" s="4" t="s">
        <v>5</v>
      </c>
      <c r="E12" s="5" t="s">
        <v>2</v>
      </c>
      <c r="G12" s="4" t="s">
        <v>0</v>
      </c>
      <c r="H12" s="4" t="s">
        <v>5</v>
      </c>
      <c r="I12" s="5" t="s">
        <v>2</v>
      </c>
    </row>
    <row r="13" spans="1:9" ht="19.5" customHeight="1">
      <c r="A13" s="6" t="s">
        <v>25</v>
      </c>
      <c r="C13" s="22" t="str">
        <f>IF(B8&gt;24," Can't Use",IF(B9&gt;24," Can't Use",DEGREES((SIN(C8/2/(24+4)))+(SIN(C9/2/(24+4))))+((8*180)/(3.1416*(24+4)))))</f>
        <v> Can't Use</v>
      </c>
      <c r="D13" s="23" t="str">
        <f>IF(B8&gt;30," Can't Use",IF(B9&gt;30," Can't Use",DEGREES((SIN(D8/2/(24+4)))+(SIN(D9/2/(24+4))))+((8*180)/(3.1416*(24+4)))))</f>
        <v> Can't Use</v>
      </c>
      <c r="E13" s="24" t="str">
        <f>IF(B8&gt;24," Can't Use",IF(B9&gt;24," Can't Use",DEGREES((SIN(E8/2/(24+4)))+(SIN(E9/2/(24+4))))+((8*180)/(3.1416*(24+4)))))</f>
        <v> Can't Use</v>
      </c>
      <c r="G13" s="22" t="str">
        <f>IF(B8&gt;24," Can't Use",IF(B9&gt;24," Can't Use",IF(ABS(B4+B8/2/12)-(B5+B9/2/12)&gt;(C8/2/12+8/12+C9/2/12),"Any Angle",((SQRT(ABS((8/12+C8/2/12+C9/2/12)^2-((B4+B8/2/12)-(B5+B9/2/12))^2))*180)/(3.1416*((24+4)/12))))))</f>
        <v> Can't Use</v>
      </c>
      <c r="H13" s="23" t="str">
        <f>IF(B8&gt;30," Can't Use",IF(B9&gt;30," Can't Use",IF(ABS(B4+B8/2/12)-(B5+B9/2/12)&gt;(D8/2/12+8/12+D9/2/12),"Any Angle",((SQRT(ABS((8/12+D8/2/12+D9/2/12)^2-((B4+B8/2/12)-(B5+B9/2/12))^2))*180)/(3.1416*((24+4)/12))))))</f>
        <v> Can't Use</v>
      </c>
      <c r="I13" s="24" t="str">
        <f>IF(B8&gt;24," Can't Use",IF(B9&gt;24," Can't Use",IF(ABS(B4+B8/2/12)-(B5+B9/2/12)&gt;(E8/2/12+8/12+E9/2/12),"Any Angle",((SQRT(ABS((8/12+E8/2/12+E9/2/12)^2-((B4+B8/2/12)-(B5+B9/2/12))^2))*180)/(3.1416*((24+4)/12))))))</f>
        <v> Can't Use</v>
      </c>
    </row>
    <row r="14" spans="1:9" ht="19.5" customHeight="1">
      <c r="A14" s="6" t="s">
        <v>26</v>
      </c>
      <c r="C14" s="25" t="str">
        <f>IF(B8&gt;30," Can't Use",IF(B9&gt;30," Can't Use",DEGREES((SIN(C8/2/(27+4.5)))+(SIN(C9/2/(27+4.5))))+((8*180)/(3.1416*(27+4.5)))))</f>
        <v> Can't Use</v>
      </c>
      <c r="D14" s="26">
        <f>IF(B8&gt;36," Can't Use",IF(B9&gt;36," Can't Use",DEGREES((SIN(D8/2/(27+4.5)))+(SIN(D9/2/(27+4.5))))+((8*180)/(3.1416*(27+4.5)))))</f>
        <v>64.53591150361044</v>
      </c>
      <c r="E14" s="27" t="str">
        <f>IF(B8&gt;30," Can't Use",IF(B9&gt;30," Can't Use",DEGREES((SIN(E8/2/(27+4.5)))+(SIN(E9/2/(27+4.5))))+((8*180)/(3.1416*(27+4.5)))))</f>
        <v> Can't Use</v>
      </c>
      <c r="G14" s="25" t="str">
        <f>IF(B8&gt;30," Can't Use",IF(B9&gt;30," Can't Use",IF(ABS(B4+B8/2/12)-(B5+B9/2/12)&gt;(C8/2/12+8/12+C9/2/12),"Any Angle",((SQRT(ABS((8/12+C8/2/12+C9/2/12)^2-((B4+B8/2/12)-(B5+B9/2/12))^2))*180)/(3.1416*((27+4.5)/12))))))</f>
        <v> Can't Use</v>
      </c>
      <c r="H14" s="26">
        <f>IF(B8&gt;36," Can't Use",IF(B9&gt;36," Can't Use",IF(ABS(B4+B8/2/12)-(B5+B9/2/12)&gt;(D8/2/12+8/12+D9/2/12),"Any Angle",((SQRT(ABS((8/12+D8/2/12+D9/2/12)^2-((B4+B8/2/12)-(B5+B9/2/12))^2))*180)/(3.1416*((27+4.5)/12))))))</f>
        <v>51.22095325522471</v>
      </c>
      <c r="I14" s="27" t="str">
        <f>IF(B8&gt;30," Can't Use",IF(B9&gt;30," Can't Use",IF(ABS(B4+B8/2/12)-(B5+B9/2/12)&gt;(E8/2/12+8/12+E9/2/12),"Any Angle",((SQRT(ABS((8/12+E8/2/12+E9/2/12)^2-((B4+B8/2/12)-(B5+B9/2/12))^2))*180)/(3.1416*((27+4.5)/12))))))</f>
        <v> Can't Use</v>
      </c>
    </row>
    <row r="15" spans="1:9" ht="19.5" customHeight="1">
      <c r="A15" s="6" t="s">
        <v>27</v>
      </c>
      <c r="C15" s="25">
        <f>IF(B8&gt;36," Can't Use",IF(B9&gt;36," Can't Use",DEGREES((SIN(C8/2/(30+5)))+(SIN(C9/2/(30+5))))+((8*180)/(3.1416*(30+5)))))</f>
        <v>64.10159977782598</v>
      </c>
      <c r="D15" s="26">
        <f>IF(B8&gt;42," Can't Use",IF(B9&gt;42," Can't Use",DEGREES((SIN(D8/2/(30+5)))+(SIN(D9/2/(30+5))))+((8*180)/(3.1416*(30+5)))))</f>
        <v>58.547265322269126</v>
      </c>
      <c r="E15" s="27">
        <f>IF(B8&gt;36," Can't Use",IF(B9&gt;36," Can't Use",DEGREES((SIN(E8/2/(30+5)))+(SIN(E9/2/(30+5))))+((8*180)/(3.1416*(30+5)))))</f>
        <v>61.61929360766407</v>
      </c>
      <c r="G15" s="25">
        <f>IF(B8&gt;36," Can't Use",IF(B9&gt;36," Can't Use",IF(ABS(B4+B8/2/12)-(B5+B9/2/12)&gt;(C8/2/12+8/12+C9/2/12),"Any Angle",((SQRT(ABS((8/12+C8/2/12+C9/2/12)^2-((B4+B8/2/12)-(B5+B9/2/12))^2))*180)/(3.1416*((30+5)/12))))))</f>
        <v>54.41701453212265</v>
      </c>
      <c r="H15" s="26">
        <f>IF(B8&gt;42," Can't Use",IF(B9&gt;42," Can't Use",IF(ABS(B4+B8/2/12)-(B5+B9/2/12)&gt;(D8/2/12+8/12+D9/2/12),"Any Angle",((SQRT(ABS((8/12+D8/2/12+D9/2/12)^2-((B4+B8/2/12)-(B5+B9/2/12))^2))*180)/(3.1416*((30+5)/12))))))</f>
        <v>46.098857929702234</v>
      </c>
      <c r="I15" s="27">
        <f>IF(B8&gt;36," Can't Use",IF(B9&gt;36," Can't Use",IF(ABS(B4+B8/2/12)-(B5+B9/2/12)&gt;(E8/2/12+8/12+E9/2/12),"Any Angle",((SQRT(ABS((8/12+E8/2/12+E9/2/12)^2-((B4+B8/2/12)-(B5+B9/2/12))^2))*180)/(3.1416*((30+5)/12))))))</f>
        <v>50.8415472946333</v>
      </c>
    </row>
    <row r="16" spans="1:9" ht="19.5" customHeight="1">
      <c r="A16" s="6" t="s">
        <v>28</v>
      </c>
      <c r="C16" s="25">
        <f>IF(B8&gt;42," Can't Use",IF(B9&gt;42," Can't Use",DEGREES((SIN(C8/2/(36+6)))+(SIN(C9/2/(36+6))))+((12*180)/(3.1416*(36+6)))))</f>
        <v>59.63132585065624</v>
      </c>
      <c r="D16" s="26">
        <f>IF(B8&gt;54," Can't Use",IF(B9&gt;54," Can't Use",DEGREES((SIN(D8/2/(36+6)))+(SIN(D9/2/(36+6))))+((12*180)/(3.1416*(36+6)))))</f>
        <v>54.75530048262448</v>
      </c>
      <c r="E16" s="27">
        <f>IF(B8&gt;42," Can't Use",IF(B9&gt;42," Can't Use",DEGREES((SIN(E8/2/(36+6)))+(SIN(E9/2/(36+6))))+((12*180)/(3.1416*(36+6)))))</f>
        <v>57.467584577603944</v>
      </c>
      <c r="G16" s="25">
        <f>IF(B8&gt;42," Can't Use",IF(B9&gt;42," Can't Use",IF(ABS(B4+B8/2/12)-(B5+B9/2/12)&gt;(C8/2/12+8/12+C9/2/12),"Any Angle",((SQRT(ABS((12/12+C8/2/12+C9/2/12)^2-((B4+B8/2/12)-(B5+B9/2/12))^2))*180)/(3.1416*((36+6)/12))))))</f>
        <v>51.92858864638841</v>
      </c>
      <c r="H16" s="26">
        <f>IF(B8&gt;54," Can't Use",IF(B9&gt;54," Can't Use",IF(ABS(B4+B8/2/12)-(B5+B9/2/12)&gt;(D8/2/12+8/12+D9/2/12),"Any Angle",((SQRT(ABS((12/12+D8/2/12+D9/2/12)^2-((B4+B8/2/12)-(B5+B9/2/12))^2))*180)/(3.1416*((36+6)/12))))))</f>
        <v>45.34751211010221</v>
      </c>
      <c r="I16" s="27">
        <f>IF(B8&gt;42," Can't Use",IF(B9&gt;42," Can't Use",IF(ABS(B4+B8/2/12)-(B5+B9/2/12)&gt;(E8/2/12+8/12+E9/2/12),"Any Angle",((SQRT(ABS((12/12+E8/2/12+E9/2/12)^2-((B4+B8/2/12)-(B5+B9/2/12))^2))*180)/(3.1416*((36+6)/12))))))</f>
        <v>49.083309482248644</v>
      </c>
    </row>
    <row r="17" spans="1:9" ht="19.5" customHeight="1">
      <c r="A17" s="6" t="s">
        <v>29</v>
      </c>
      <c r="C17" s="25">
        <f>IF(B8&gt;54," Can't Use",IF(B9&gt;54," Can't Use",DEGREES((SIN(C8/2/(42+8)))+(SIN(C9/2/(42+8))))+((12*180)/(3.1416*(42+8)))))</f>
        <v>50.520245284661435</v>
      </c>
      <c r="D17" s="26">
        <f>IF(B8&gt;60," Can't Use",IF(B9&gt;60," Can't Use",DEGREES((SIN(D8/2/(42+8)))+(SIN(D9/2/(42+8))))+((12*180)/(3.1416*(42+8)))))</f>
        <v>46.28302166512686</v>
      </c>
      <c r="E17" s="27">
        <f>IF(B8&gt;54," Can't Use",IF(B9&gt;54," Can't Use",DEGREES((SIN(E8/2/(42+8)))+(SIN(E9/2/(42+8))))+((12*180)/(3.1416*(42+8)))))</f>
        <v>48.64830572864873</v>
      </c>
      <c r="G17" s="25">
        <f>IF(B8&gt;54," Can't Use",IF(B9&gt;54," Can't Use",IF(ABS(B4+B8/2/12)-(B5+B9/2/12)&gt;(C8/2/12+8/12+C9/2/12),"Any Angle",((SQRT(ABS((12/12+C8/2/12+C9/2/12)^2-((B4+B8/2/12)-(B5+B9/2/12))^2))*180)/(3.1416*((42+8)/12))))))</f>
        <v>43.62001446296627</v>
      </c>
      <c r="H17" s="26">
        <f>IF(B8&gt;60," Can't Use",IF(B9&gt;60," Can't Use",IF(ABS(B4+B8/2/12)-(B5+B9/2/12)&gt;(D8/2/12+8/12+D9/2/12),"Any Angle",((SQRT(ABS((12/12+D8/2/12+D9/2/12)^2-((B4+B8/2/12)-(B5+B9/2/12))^2))*180)/(3.1416*((42+8)/12))))))</f>
        <v>38.09191017248585</v>
      </c>
      <c r="I17" s="27">
        <f>IF(B8&gt;54," Can't Use",IF(B9&gt;54," Can't Use",IF(ABS(B4+B8/2/12)-(B5+B9/2/12)&gt;(E8/2/12+8/12+E9/2/12),"Any Angle",((SQRT(ABS((12/12+E8/2/12+E9/2/12)^2-((B4+B8/2/12)-(B5+B9/2/12))^2))*180)/(3.1416*((42+8)/12))))))</f>
        <v>41.22997996508886</v>
      </c>
    </row>
    <row r="18" spans="1:9" ht="19.5" customHeight="1" thickBot="1">
      <c r="A18" s="6" t="s">
        <v>30</v>
      </c>
      <c r="C18" s="28">
        <f>IF(B8&gt;60," Can't Use",IF(B9&gt;60," Can't Use",DEGREES((SIN(C8/2/(48+8)))+(SIN(C9/2/(48+8))))+((12*180)/(3.1416*(48+8)))))</f>
        <v>45.295171663679994</v>
      </c>
      <c r="D18" s="29">
        <f>IF(B8&gt;72," Can't Use",IF(B9&gt;72," Can't Use",DEGREES((SIN(D8/2/(48+8)))+(SIN(D9/2/(48+8))))+((12*180)/(3.1416*(48+8)))))</f>
        <v>41.44998455563266</v>
      </c>
      <c r="E18" s="30">
        <f>IF(B8&gt;60," Can't Use",IF(B9&gt;60," Can't Use",DEGREES((SIN(E8/2/(48+8)))+(SIN(E9/2/(48+8))))+((12*180)/(3.1416*(48+8)))))</f>
        <v>43.599949833165404</v>
      </c>
      <c r="G18" s="28">
        <f>IF(B8&gt;60," Can't Use",IF(B9&gt;60," Can't Use",IF(ABS(B4+B8/2/12)-(B5+B9/2/12)&gt;(C8/2/12+8/12+C9/2/12),"Any Angle",((SQRT(ABS((12/12+C8/2/12+C9/2/12)^2-((B4+B8/2/12)-(B5+B9/2/12))^2))*180)/(3.1416*((48+8)/12))))))</f>
        <v>38.94644148479131</v>
      </c>
      <c r="H18" s="29">
        <f>IF(B8&gt;72," Can't Use",IF(B9&gt;72," Can't Use",IF(ABS(B4+B8/2/12)-(B5+B9/2/12)&gt;(D8/2/12+8/12+D9/2/12),"Any Angle",((SQRT(ABS((12/12+D8/2/12+D9/2/12)^2-((B4+B8/2/12)-(B5+B9/2/12))^2))*180)/(3.1416*((48+8)/12))))))</f>
        <v>34.01063408257666</v>
      </c>
      <c r="I18" s="30">
        <f>IF(B8&gt;60," Can't Use",IF(B9&gt;60," Can't Use",IF(ABS(B4+B8/2/12)-(B5+B9/2/12)&gt;(E8/2/12+8/12+E9/2/12),"Any Angle",((SQRT(ABS((12/12+E8/2/12+E9/2/12)^2-((B4+B8/2/12)-(B5+B9/2/12))^2))*180)/(3.1416*((48+8)/12))))))</f>
        <v>36.81248211168648</v>
      </c>
    </row>
    <row r="19" spans="1:5" ht="19.5" customHeight="1">
      <c r="A19" s="31"/>
      <c r="B19" s="33"/>
      <c r="C19" s="34"/>
      <c r="D19" s="34"/>
      <c r="E19" s="34"/>
    </row>
    <row r="20" spans="1:5" ht="19.5" customHeight="1">
      <c r="A20" s="15" t="s">
        <v>17</v>
      </c>
      <c r="B20" s="34"/>
      <c r="C20" s="34"/>
      <c r="D20" s="34"/>
      <c r="E20" s="34"/>
    </row>
    <row r="21" ht="12.75">
      <c r="A21" s="32" t="s">
        <v>45</v>
      </c>
    </row>
    <row r="22" ht="12.75">
      <c r="A22" s="32" t="s">
        <v>41</v>
      </c>
    </row>
    <row r="23" ht="12.75">
      <c r="A23" s="32" t="s">
        <v>40</v>
      </c>
    </row>
    <row r="24" ht="12.75">
      <c r="A24" s="32" t="s">
        <v>42</v>
      </c>
    </row>
    <row r="25" ht="12.75">
      <c r="A25" s="32" t="s">
        <v>43</v>
      </c>
    </row>
    <row r="26" ht="12.75">
      <c r="A26" s="32" t="s">
        <v>44</v>
      </c>
    </row>
    <row r="27" ht="15.75">
      <c r="A27" s="15" t="s">
        <v>13</v>
      </c>
    </row>
    <row r="28" ht="12.75">
      <c r="A28" s="7" t="s">
        <v>32</v>
      </c>
    </row>
    <row r="29" ht="12.75">
      <c r="A29" s="14" t="s">
        <v>31</v>
      </c>
    </row>
    <row r="30" ht="15.75">
      <c r="A30" s="14" t="s">
        <v>14</v>
      </c>
    </row>
    <row r="31" ht="12.75">
      <c r="A31" s="14" t="s">
        <v>34</v>
      </c>
    </row>
    <row r="32" ht="12.75">
      <c r="A32" s="14" t="s">
        <v>33</v>
      </c>
    </row>
    <row r="33" ht="12.75">
      <c r="A33" s="14" t="s">
        <v>15</v>
      </c>
    </row>
    <row r="34" ht="12.75">
      <c r="A34" s="14" t="s">
        <v>46</v>
      </c>
    </row>
    <row r="35" ht="12.75">
      <c r="A35" s="14" t="s">
        <v>31</v>
      </c>
    </row>
    <row r="36" ht="12.75">
      <c r="A36" s="14" t="s">
        <v>35</v>
      </c>
    </row>
    <row r="37" ht="12.75">
      <c r="A37" s="14" t="s">
        <v>39</v>
      </c>
    </row>
    <row r="38" ht="12.75">
      <c r="A38" s="14" t="s">
        <v>37</v>
      </c>
    </row>
    <row r="39" ht="12.75">
      <c r="A39" s="14" t="s">
        <v>36</v>
      </c>
    </row>
  </sheetData>
  <sheetProtection sheet="1" objects="1" scenarios="1"/>
  <mergeCells count="2">
    <mergeCell ref="C11:E11"/>
    <mergeCell ref="G11:I11"/>
  </mergeCells>
  <printOptions/>
  <pageMargins left="0.5" right="0.25" top="0.5" bottom="0.5" header="0.25" footer="0.25"/>
  <pageSetup horizontalDpi="600" verticalDpi="600" orientation="landscape" paperSize="3" r:id="rId2"/>
  <headerFooter alignWithMargins="0">
    <oddHeader>&amp;C&amp;"Arial,Bold"&amp;14Pipe Angle Calculation Sheet</oddHeader>
    <oddFooter>&amp;L&amp;F&amp;R&amp;D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6" sqref="O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3" width="4.7109375" style="0" customWidth="1"/>
  </cols>
  <sheetData>
    <row r="1" spans="1:13" ht="12.7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2.75">
      <c r="A2">
        <v>12</v>
      </c>
      <c r="B2">
        <v>18</v>
      </c>
      <c r="C2">
        <v>24</v>
      </c>
      <c r="D2">
        <v>30</v>
      </c>
      <c r="E2">
        <v>36</v>
      </c>
      <c r="F2">
        <v>42</v>
      </c>
      <c r="G2">
        <v>48</v>
      </c>
      <c r="H2">
        <v>54</v>
      </c>
      <c r="I2">
        <v>60</v>
      </c>
      <c r="J2">
        <v>66</v>
      </c>
      <c r="K2">
        <v>72</v>
      </c>
      <c r="L2">
        <v>84</v>
      </c>
      <c r="M2">
        <v>96</v>
      </c>
    </row>
    <row r="3" spans="1:13" ht="12.75">
      <c r="A3">
        <f>12+3+(2*2)</f>
        <v>19</v>
      </c>
      <c r="B3">
        <f>18+3+(2.5*2)</f>
        <v>26</v>
      </c>
      <c r="C3">
        <f>24+3+(3*2)</f>
        <v>33</v>
      </c>
      <c r="D3">
        <f>30+3+(3.5*2)</f>
        <v>40</v>
      </c>
      <c r="E3">
        <f>36+3+(4*2)</f>
        <v>47</v>
      </c>
      <c r="F3">
        <f>42+3+(4.5*2)</f>
        <v>54</v>
      </c>
      <c r="G3">
        <f>48+3+(5*2)</f>
        <v>61</v>
      </c>
      <c r="H3">
        <f>54+3+(5.5*2)</f>
        <v>68</v>
      </c>
      <c r="I3">
        <f>60+3+(6*2)</f>
        <v>75</v>
      </c>
      <c r="J3">
        <f>66+3+(6.5*2)</f>
        <v>82</v>
      </c>
      <c r="K3">
        <f>72+3+(7*2)</f>
        <v>89</v>
      </c>
      <c r="L3">
        <f>84+3+(8*2)</f>
        <v>103</v>
      </c>
      <c r="M3">
        <f>96+3+(9*2)</f>
        <v>117</v>
      </c>
    </row>
    <row r="5" spans="1:13" ht="12.75">
      <c r="A5" s="41" t="s">
        <v>2</v>
      </c>
      <c r="B5" s="41"/>
      <c r="C5" s="41"/>
      <c r="D5" s="41"/>
      <c r="E5" s="41"/>
      <c r="F5" s="41"/>
      <c r="G5" s="41"/>
      <c r="H5" s="21"/>
      <c r="I5" s="21"/>
      <c r="J5" s="21"/>
      <c r="K5" s="21"/>
      <c r="L5" s="21"/>
      <c r="M5" s="21"/>
    </row>
    <row r="6" spans="1:7" ht="12.75">
      <c r="A6">
        <v>12</v>
      </c>
      <c r="B6">
        <v>18</v>
      </c>
      <c r="C6">
        <v>24</v>
      </c>
      <c r="D6">
        <v>30</v>
      </c>
      <c r="E6">
        <v>36</v>
      </c>
      <c r="F6">
        <v>48</v>
      </c>
      <c r="G6">
        <v>60</v>
      </c>
    </row>
    <row r="7" spans="1:7" ht="12.75">
      <c r="A7">
        <f>12+3+(1.25*2)</f>
        <v>17.5</v>
      </c>
      <c r="B7">
        <f>18+3+(1.5*2)</f>
        <v>24</v>
      </c>
      <c r="C7">
        <f>24+3+(2*2)</f>
        <v>31</v>
      </c>
      <c r="D7">
        <f>30+3+(3*2)</f>
        <v>39</v>
      </c>
      <c r="E7">
        <f>36+3+(3*2)</f>
        <v>45</v>
      </c>
      <c r="F7">
        <f>48+3+(3*2)</f>
        <v>57</v>
      </c>
      <c r="G7">
        <f>60+3+(3.5*2)</f>
        <v>70</v>
      </c>
    </row>
    <row r="10" spans="1:15" ht="12.75">
      <c r="A10" s="42" t="s">
        <v>38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</sheetData>
  <sheetProtection/>
  <mergeCells count="3">
    <mergeCell ref="A1:M1"/>
    <mergeCell ref="A5:G5"/>
    <mergeCell ref="A10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Pipe Angle Calculation Worksheet</dc:title>
  <dc:subject>Pipe Angle Calculation Worksheet</dc:subject>
  <dc:creator>WSDOT Hydraulics</dc:creator>
  <cp:keywords/>
  <dc:description/>
  <cp:lastModifiedBy>willisr</cp:lastModifiedBy>
  <cp:lastPrinted>2009-11-24T16:49:28Z</cp:lastPrinted>
  <dcterms:created xsi:type="dcterms:W3CDTF">2009-07-14T20:08:23Z</dcterms:created>
  <dcterms:modified xsi:type="dcterms:W3CDTF">2019-12-05T17:21:57Z</dcterms:modified>
  <cp:category/>
  <cp:version/>
  <cp:contentType/>
  <cp:contentStatus/>
</cp:coreProperties>
</file>