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6440" tabRatio="499" activeTab="0"/>
  </bookViews>
  <sheets>
    <sheet name="Project Info" sheetId="1" r:id="rId1"/>
    <sheet name="Construction Page" sheetId="2" state="hidden" r:id="rId2"/>
    <sheet name="Ambient &amp; Traffic Page" sheetId="3" state="hidden" r:id="rId3"/>
    <sheet name="Action Area Page " sheetId="4" r:id="rId4"/>
    <sheet name="Attenuation Chart" sheetId="5" state="hidden" r:id="rId5"/>
    <sheet name="Revisions" sheetId="6" state="hidden" r:id="rId6"/>
  </sheets>
  <definedNames>
    <definedName name="_xlfn.SINGLE" hidden="1">#NAME?</definedName>
    <definedName name="EXTRACT" localSheetId="1">'Construction Page'!$F$6:$F$13</definedName>
    <definedName name="_xlnm.Print_Area" localSheetId="3">'Action Area Page '!$A$1:$O$48</definedName>
    <definedName name="solver_adj" localSheetId="3" hidden="1">'Action Area Page '!$R$7</definedName>
    <definedName name="solver_cvg" localSheetId="3" hidden="1">0.0001</definedName>
    <definedName name="solver_drv" localSheetId="3" hidden="1">1</definedName>
    <definedName name="solver_eng" localSheetId="3" hidden="1">1</definedName>
    <definedName name="solver_est" localSheetId="3" hidden="1">1</definedName>
    <definedName name="solver_itr" localSheetId="3" hidden="1">100</definedName>
    <definedName name="solver_lhs1" localSheetId="3" hidden="1">'Action Area Page '!$G$7</definedName>
    <definedName name="solver_lin" localSheetId="3" hidden="1">2</definedName>
    <definedName name="solver_mip" localSheetId="3" hidden="1">2147483647</definedName>
    <definedName name="solver_mni" localSheetId="3" hidden="1">30</definedName>
    <definedName name="solver_mrt" localSheetId="3" hidden="1">0.075</definedName>
    <definedName name="solver_msl" localSheetId="3" hidden="1">2</definedName>
    <definedName name="solver_neg" localSheetId="3" hidden="1">2</definedName>
    <definedName name="solver_nod" localSheetId="3" hidden="1">2147483647</definedName>
    <definedName name="solver_num" localSheetId="3" hidden="1">0</definedName>
    <definedName name="solver_nwt" localSheetId="3" hidden="1">1</definedName>
    <definedName name="solver_opt" localSheetId="3" hidden="1">'Action Area Page '!$H$7</definedName>
    <definedName name="solver_pre" localSheetId="3" hidden="1">0.000001</definedName>
    <definedName name="solver_rbv" localSheetId="3" hidden="1">1</definedName>
    <definedName name="solver_rel1" localSheetId="3" hidden="1">2</definedName>
    <definedName name="solver_rhs1" localSheetId="3" hidden="1">'Action Area Page '!$H$7</definedName>
    <definedName name="solver_rlx" localSheetId="3" hidden="1">1</definedName>
    <definedName name="solver_rsd" localSheetId="3" hidden="1">0</definedName>
    <definedName name="solver_scl" localSheetId="3" hidden="1">0</definedName>
    <definedName name="solver_sho" localSheetId="3" hidden="1">2</definedName>
    <definedName name="solver_ssz" localSheetId="3" hidden="1">100</definedName>
    <definedName name="solver_tim" localSheetId="3" hidden="1">100</definedName>
    <definedName name="solver_tol" localSheetId="3" hidden="1">0.01</definedName>
    <definedName name="solver_typ" localSheetId="3" hidden="1">1</definedName>
    <definedName name="solver_val" localSheetId="3" hidden="1">0</definedName>
    <definedName name="solver_ver" localSheetId="3" hidden="1">3</definedName>
  </definedNames>
  <calcPr fullCalcOnLoad="1"/>
</workbook>
</file>

<file path=xl/sharedStrings.xml><?xml version="1.0" encoding="utf-8"?>
<sst xmlns="http://schemas.openxmlformats.org/spreadsheetml/2006/main" count="210" uniqueCount="155">
  <si>
    <t>f.  Dense forest are 5 dB for 1st 30 M (100 ft.) and 5 dB for the 2nd 30 M (100 ft.) to a maximum of 10 dBA</t>
  </si>
  <si>
    <t>Adjustments</t>
  </si>
  <si>
    <t>S</t>
  </si>
  <si>
    <t>Total  Soft</t>
  </si>
  <si>
    <t>Total  Hard</t>
  </si>
  <si>
    <t>Soft</t>
  </si>
  <si>
    <t>Hard</t>
  </si>
  <si>
    <t>Equipment</t>
  </si>
  <si>
    <t>Number of pieces</t>
  </si>
  <si>
    <t>Highest 3</t>
  </si>
  <si>
    <t>Vehicles /  hour:</t>
  </si>
  <si>
    <t>Traffic</t>
  </si>
  <si>
    <t>Type</t>
  </si>
  <si>
    <t>%</t>
  </si>
  <si>
    <t>Volume</t>
  </si>
  <si>
    <t>Speed (MPH)</t>
  </si>
  <si>
    <t>Sound Level (dBA)</t>
  </si>
  <si>
    <t>Autos</t>
  </si>
  <si>
    <t>Medium Trucks</t>
  </si>
  <si>
    <t>Heavy Trucks</t>
  </si>
  <si>
    <t>All Traffic</t>
  </si>
  <si>
    <t>Distance (ft.)</t>
  </si>
  <si>
    <t>Construction Noise (Soft)</t>
  </si>
  <si>
    <t>Construction Noise (Hard)</t>
  </si>
  <si>
    <t>Traffic Noise (Soft)</t>
  </si>
  <si>
    <t>Traffic Noise (Hard)</t>
  </si>
  <si>
    <t>Ambient Sound Level</t>
  </si>
  <si>
    <t>Project Title:</t>
  </si>
  <si>
    <t>g.  Assumes flat terrain.</t>
  </si>
  <si>
    <t>Soft  Forest</t>
  </si>
  <si>
    <t>Activity or Phase:</t>
  </si>
  <si>
    <t>Sound Level at 50 ft. (dBA)</t>
  </si>
  <si>
    <t>All Traffic @ 50 Ft. (dBA)</t>
  </si>
  <si>
    <t>ft.</t>
  </si>
  <si>
    <t>Hard Site (dBA)</t>
  </si>
  <si>
    <t>Soft Site (dBA)</t>
  </si>
  <si>
    <t>Project Limits:</t>
  </si>
  <si>
    <t>State Route:</t>
  </si>
  <si>
    <t>Work Order #</t>
  </si>
  <si>
    <t xml:space="preserve">From MP </t>
  </si>
  <si>
    <t>Date:</t>
  </si>
  <si>
    <t>To MP</t>
  </si>
  <si>
    <t xml:space="preserve">Traffic Data </t>
  </si>
  <si>
    <t>Traffic Description:</t>
  </si>
  <si>
    <t>Construction Noise Action Area Project Information Page</t>
  </si>
  <si>
    <t>Major Traffic Noise Source:</t>
  </si>
  <si>
    <t>Posted Speed:</t>
  </si>
  <si>
    <t>Truck speed:</t>
  </si>
  <si>
    <t>Vehicle Mix %:</t>
  </si>
  <si>
    <t>Automobiles</t>
  </si>
  <si>
    <t>Population:</t>
  </si>
  <si>
    <t>Measurement Date:</t>
  </si>
  <si>
    <t>Referenced Level:</t>
  </si>
  <si>
    <t>Construction Phase or Activity Description:</t>
  </si>
  <si>
    <t>Construction Project Description:</t>
  </si>
  <si>
    <t>Construction Equipment List:</t>
  </si>
  <si>
    <t>Quantity</t>
  </si>
  <si>
    <t>Sound Level @ 50' (dBA)</t>
  </si>
  <si>
    <t>Receiver / Individual</t>
  </si>
  <si>
    <t>Amount of Dense Trees (feet)</t>
  </si>
  <si>
    <t>Project Phase or Activity:</t>
  </si>
  <si>
    <t>Location or Worksheet and Cells Affected</t>
  </si>
  <si>
    <t>Date</t>
  </si>
  <si>
    <t>Label or Title of Improvement</t>
  </si>
  <si>
    <t>Description of Improvement</t>
  </si>
  <si>
    <t>Assumptions:</t>
  </si>
  <si>
    <t>Site Characteristics  Soft / Hard</t>
  </si>
  <si>
    <t>Individual #1</t>
  </si>
  <si>
    <t>Dump Trucks</t>
  </si>
  <si>
    <t>Pavers</t>
  </si>
  <si>
    <t>Rollers</t>
  </si>
  <si>
    <t>Pavement Grinder</t>
  </si>
  <si>
    <t>Construction Phase or Activity Sound Level Data</t>
  </si>
  <si>
    <t>Ambient Adjustment</t>
  </si>
  <si>
    <t>Ambient &amp; Traffic Sound Level sheet at the 4 cells that describe the sound level where construction noise meets the ambient background.</t>
  </si>
  <si>
    <t>Since these levels are used in defining what the ambient background sound level is in the model,this change helps to incorperate the adjustments we make to this level for Atmospherics and Molecular Absorption.</t>
  </si>
  <si>
    <t>Adjustment Button</t>
  </si>
  <si>
    <t xml:space="preserve">Action Area Page has an added button that will solve the adjustments differential for Atmospherics and Molecular Absorption. </t>
  </si>
  <si>
    <t>Uses the Excel Solver Algarithms to solve the adjustment Summarized in the Actual Adjustments Column, with Jim Laughlins assistance.</t>
  </si>
  <si>
    <t>Calculates 3 Highest</t>
  </si>
  <si>
    <t>On the Construction Page the top 3 cells of the Highest 3 column.</t>
  </si>
  <si>
    <t>Analysis and Conclusions:</t>
  </si>
  <si>
    <t xml:space="preserve">Enter a short analysis and conclusion of the results for the construction activites </t>
  </si>
  <si>
    <r>
      <t xml:space="preserve">Uses an Excel function to determine the highest three Equipment levels in the </t>
    </r>
    <r>
      <rPr>
        <sz val="10"/>
        <rFont val="Symbol"/>
        <family val="1"/>
      </rPr>
      <t>S</t>
    </r>
    <r>
      <rPr>
        <sz val="10"/>
        <rFont val="Arial"/>
        <family val="2"/>
      </rPr>
      <t xml:space="preserve"> column with Jim Laughlin's assistance.</t>
    </r>
  </si>
  <si>
    <t>persons per sq. mi.</t>
  </si>
  <si>
    <t>Measured Traffic Sound Level (dBA)</t>
  </si>
  <si>
    <t>(dBA)</t>
  </si>
  <si>
    <t>(vph)</t>
  </si>
  <si>
    <t>Molecular Absorption (dB)</t>
  </si>
  <si>
    <r>
      <t xml:space="preserve">S 
</t>
    </r>
    <r>
      <rPr>
        <b/>
        <sz val="10"/>
        <rFont val="Arial"/>
        <family val="2"/>
      </rPr>
      <t>(dB)</t>
    </r>
  </si>
  <si>
    <t>Actual Adjustment (dB)</t>
  </si>
  <si>
    <t>Reference Distance (ft.)</t>
  </si>
  <si>
    <t>Total Attenuation (dB)</t>
  </si>
  <si>
    <t>Cosmetic Changes</t>
  </si>
  <si>
    <t>Cosmetic Changes throughout the model were made as the result of comments from Jim Laughlin on a project QA/QC using this model.</t>
  </si>
  <si>
    <t>Mostly column alignment changes, label and call unit callouts on many of the columns.  Some cosmetic changes to the graph were made as well.</t>
  </si>
  <si>
    <t>a.  Equipment sound levels would not exceed a combination of the highest three construction equipment measured at 50 feet.</t>
  </si>
  <si>
    <r>
      <t>b.  Hard site (sites adjacent to water or developed areas having more than 90 percent concrete or asphalt) sound Level propagation from a point source is 20 Log (D/D</t>
    </r>
    <r>
      <rPr>
        <vertAlign val="subscript"/>
        <sz val="10"/>
        <rFont val="Arial"/>
        <family val="2"/>
      </rPr>
      <t>o</t>
    </r>
    <r>
      <rPr>
        <sz val="10"/>
        <rFont val="Arial"/>
        <family val="2"/>
      </rPr>
      <t>) = 6dB per doubling of the distance</t>
    </r>
  </si>
  <si>
    <r>
      <t>c.  Soft site (sites adjacent to areas having less than 90 percent concrete or asphalt, ploughed fields, grass, light vegetation) propagation from a point source is 25 Log (D/D</t>
    </r>
    <r>
      <rPr>
        <vertAlign val="subscript"/>
        <sz val="10"/>
        <rFont val="Arial"/>
        <family val="2"/>
      </rPr>
      <t>o</t>
    </r>
    <r>
      <rPr>
        <sz val="10"/>
        <rFont val="Arial"/>
        <family val="2"/>
      </rPr>
      <t>) = 7.5 dB per doubling of the distance</t>
    </r>
  </si>
  <si>
    <t>d.  Molecular absorption is 1dB / 1000 ft. beyond 2000 ft., or Distance - 2000 ft/1000 for Distance &gt; 2000 but &lt; 4000 ft.</t>
  </si>
  <si>
    <t>e.  Atmospheric factors are 1 dB / 1000 ft. beyond 1000 ft. or Distance -1000 ft./1000 for Distance &gt; 1000 ft.</t>
  </si>
  <si>
    <t>Frequently the distance is known to specific individuals in the affected habitats and it is desired to calculate the actual sound level as it attenuates over the intervening terrain.  This can be done by entering the known data in the line below.  If the sound level is required for more than one individual copy the line to as many lines as required.</t>
  </si>
  <si>
    <t>Distance to Receiver (feet)</t>
  </si>
  <si>
    <t>Individual #2</t>
  </si>
  <si>
    <t>Individual #3</t>
  </si>
  <si>
    <t>Individual #4</t>
  </si>
  <si>
    <t>Individual #5</t>
  </si>
  <si>
    <t>Individual #6</t>
  </si>
  <si>
    <t>Individual #7</t>
  </si>
  <si>
    <t>Individual #8</t>
  </si>
  <si>
    <t>Individual #9</t>
  </si>
  <si>
    <t>Individual #10</t>
  </si>
  <si>
    <t>Individual #11</t>
  </si>
  <si>
    <t>Width of Forest</t>
  </si>
  <si>
    <t>Scenarios</t>
  </si>
  <si>
    <t>Fill in the cells outlined in green dashed lines.</t>
  </si>
  <si>
    <t>Typical Traffic Volumes(veh/h):</t>
  </si>
  <si>
    <t>Total</t>
  </si>
  <si>
    <t>Enter blanks not zeros in these columns</t>
  </si>
  <si>
    <t>Background Sound Level Data</t>
  </si>
  <si>
    <t>Construction Phase or Activity Sound Level Data For Individuals (People, Wildlife)</t>
  </si>
  <si>
    <t>Site Characteristics (Soft / Hard)</t>
  </si>
  <si>
    <t>Width of Dense Tree Zone (feet)</t>
  </si>
  <si>
    <t>Dense Forest or Woods Width:</t>
  </si>
  <si>
    <t>Construction Source   (dBA)</t>
  </si>
  <si>
    <t>Forest Reduction (dB)</t>
  </si>
  <si>
    <t>Atmospheric Absorption (dB)</t>
  </si>
  <si>
    <t>Attenuation Over Distance (dB)</t>
  </si>
  <si>
    <t>Distance from Construction to Background or Traffic Noise (ft.)</t>
  </si>
  <si>
    <t>If yellow highlighted values in column H</t>
  </si>
  <si>
    <t xml:space="preserve">do not match values in column G, use this macro button to </t>
  </si>
  <si>
    <t>automatically adjust the values in yellow to match the values to the left in colunm G.</t>
  </si>
  <si>
    <t>a.  Equipment sound levels would not exceed a combination of the highest three pieces of construction equipment measured at 50 feet.</t>
  </si>
  <si>
    <t>e.  Atmospheric absorption is 1 dB / 1000 ft. beyond 1000 ft. or Distance -1000 ft./1000 for Distance &gt; 1000 ft.</t>
  </si>
  <si>
    <t>f.  Dense forest are 5 dB reduction for first 30 M (100 ft.) of width and another 5 dB reductinon for the second 30 M (100 ft.) of width to a maximum of 10 dBA reduction</t>
  </si>
  <si>
    <t>Background Sound Level Description:</t>
  </si>
  <si>
    <t>compactor</t>
  </si>
  <si>
    <t>jackhammer</t>
  </si>
  <si>
    <t>Background/Traffic Sound Level       (dBA)</t>
  </si>
  <si>
    <t>excavator</t>
  </si>
  <si>
    <t xml:space="preserve">DISCLAIMER: This spreadsheet was developed by WSDOT as an in-house tool </t>
  </si>
  <si>
    <t xml:space="preserve">for assessing the potential affect to terrestrial wildlife during construction.  </t>
  </si>
  <si>
    <t>WSDOT assumes no responsibility for interpretation of the results of this spreadsheet by non-WSDOT users.</t>
  </si>
  <si>
    <t>Please contact the following WSDOT staff to report errors or submit questions:</t>
  </si>
  <si>
    <t>Jim Laughlin, WSDOT, 206-440-4643; laughlj@wsdot.wa.gov</t>
  </si>
  <si>
    <t>Distance Where Construction Noise = Traffic Noise</t>
  </si>
  <si>
    <t>Distance Where Construction Noise = Background</t>
  </si>
  <si>
    <t>Noise Level Where Construction Noise = Traffic Noise</t>
  </si>
  <si>
    <t>Noise Level Where Construction Noise = Background</t>
  </si>
  <si>
    <t>Small equipment operation</t>
  </si>
  <si>
    <t>Include a brief description of the basis for the proposed background sound level if not based on population per square mile and time of day as identified in FTA guidance. Include a reference to source if available.</t>
  </si>
  <si>
    <t xml:space="preserve">Include a brief description of the construction activities of concern.  Identify specific equipment or activities.  </t>
  </si>
  <si>
    <t>Formula changes</t>
  </si>
  <si>
    <t>Action Area Page and the Ambient and Traffic data page</t>
  </si>
  <si>
    <t>Updated the formulae used to calculate the distance shortest distance to either background or traffic noise whichever is encountered first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</si>
</sst>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
    <numFmt numFmtId="166" formatCode="0.00000"/>
    <numFmt numFmtId="167" formatCode="0\%"/>
  </numFmts>
  <fonts count="60">
    <font>
      <sz val="10"/>
      <name val="Arial"/>
      <family val="0"/>
    </font>
    <font>
      <sz val="11"/>
      <color indexed="8"/>
      <name val="Calibri"/>
      <family val="2"/>
    </font>
    <font>
      <vertAlign val="subscript"/>
      <sz val="10"/>
      <name val="Arial"/>
      <family val="2"/>
    </font>
    <font>
      <b/>
      <sz val="10"/>
      <name val="Arial"/>
      <family val="2"/>
    </font>
    <font>
      <b/>
      <sz val="10"/>
      <name val="Symbol"/>
      <family val="1"/>
    </font>
    <font>
      <b/>
      <sz val="12"/>
      <name val="Arial"/>
      <family val="2"/>
    </font>
    <font>
      <b/>
      <sz val="14"/>
      <name val="Arial"/>
      <family val="2"/>
    </font>
    <font>
      <sz val="8"/>
      <name val="Arial"/>
      <family val="2"/>
    </font>
    <font>
      <i/>
      <sz val="10"/>
      <name val="Arial"/>
      <family val="2"/>
    </font>
    <font>
      <b/>
      <sz val="9"/>
      <name val="Arial"/>
      <family val="2"/>
    </font>
    <font>
      <sz val="10"/>
      <name val="Symbol"/>
      <family val="1"/>
    </font>
    <font>
      <sz val="10"/>
      <color indexed="10"/>
      <name val="Arial"/>
      <family val="2"/>
    </font>
    <font>
      <b/>
      <sz val="10"/>
      <color indexed="10"/>
      <name val="Arial"/>
      <family val="2"/>
    </font>
    <font>
      <sz val="10"/>
      <color indexed="8"/>
      <name val="Arial"/>
      <family val="2"/>
    </font>
    <font>
      <b/>
      <sz val="11"/>
      <color indexed="8"/>
      <name val="Calibri"/>
      <family val="2"/>
    </font>
    <font>
      <u val="single"/>
      <sz val="10"/>
      <color indexed="12"/>
      <name val="Arial"/>
      <family val="2"/>
    </font>
    <font>
      <u val="single"/>
      <sz val="10"/>
      <color indexed="20"/>
      <name val="Arial"/>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2"/>
      <color indexed="8"/>
      <name val="Arial"/>
      <family val="0"/>
    </font>
    <font>
      <sz val="8"/>
      <color indexed="8"/>
      <name val="Arial"/>
      <family val="0"/>
    </font>
    <font>
      <b/>
      <sz val="12"/>
      <color indexed="8"/>
      <name val="Arial"/>
      <family val="0"/>
    </font>
    <font>
      <b/>
      <sz val="10.75"/>
      <color indexed="8"/>
      <name val="Arial"/>
      <family val="0"/>
    </font>
    <font>
      <b/>
      <sz val="14"/>
      <color indexed="8"/>
      <name val="Arial"/>
      <family val="0"/>
    </font>
    <font>
      <sz val="8.4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10"/>
      </left>
      <right style="double">
        <color indexed="10"/>
      </right>
      <top style="double">
        <color indexed="10"/>
      </top>
      <bottom style="double">
        <color indexed="10"/>
      </bottom>
    </border>
    <border>
      <left/>
      <right/>
      <top/>
      <bottom style="medium"/>
    </border>
    <border>
      <left/>
      <right/>
      <top style="medium"/>
      <bottom/>
    </border>
    <border>
      <left style="thick"/>
      <right style="thick"/>
      <top style="thick"/>
      <bottom/>
    </border>
    <border>
      <left style="thick"/>
      <right style="thick"/>
      <top/>
      <bottom/>
    </border>
    <border>
      <left style="thick"/>
      <right style="thick"/>
      <top/>
      <bottom style="thick"/>
    </border>
    <border>
      <left style="double">
        <color indexed="12"/>
      </left>
      <right style="double">
        <color indexed="12"/>
      </right>
      <top style="double">
        <color indexed="12"/>
      </top>
      <bottom style="double">
        <color indexed="12"/>
      </bottom>
    </border>
    <border>
      <left style="double">
        <color indexed="58"/>
      </left>
      <right style="double">
        <color indexed="58"/>
      </right>
      <top style="double">
        <color indexed="58"/>
      </top>
      <bottom style="thin"/>
    </border>
    <border>
      <left style="double">
        <color indexed="58"/>
      </left>
      <right style="double">
        <color indexed="58"/>
      </right>
      <top style="thin"/>
      <bottom style="double">
        <color indexed="58"/>
      </bottom>
    </border>
    <border>
      <left/>
      <right/>
      <top/>
      <bottom style="dotted"/>
    </border>
    <border>
      <left style="mediumDashed">
        <color rgb="FF00B050"/>
      </left>
      <right style="mediumDashed">
        <color rgb="FF00B050"/>
      </right>
      <top/>
      <bottom style="mediumDashed">
        <color rgb="FF00B050"/>
      </bottom>
    </border>
    <border>
      <left style="mediumDashed">
        <color rgb="FF00B050"/>
      </left>
      <right style="mediumDashed">
        <color rgb="FF00B050"/>
      </right>
      <top style="mediumDashed">
        <color rgb="FF00B050"/>
      </top>
      <bottom style="mediumDashed">
        <color rgb="FF00B050"/>
      </bottom>
    </border>
    <border>
      <left style="mediumDashed"/>
      <right style="mediumDashed"/>
      <top style="mediumDashed"/>
      <bottom/>
    </border>
    <border>
      <left style="mediumDashed"/>
      <right style="mediumDashed"/>
      <top/>
      <bottom/>
    </border>
    <border>
      <left style="mediumDashed"/>
      <right style="mediumDashed"/>
      <top/>
      <bottom style="mediumDashed"/>
    </border>
    <border>
      <left style="mediumDashed">
        <color rgb="FF00B050"/>
      </left>
      <right style="mediumDashed">
        <color rgb="FF00B050"/>
      </right>
      <top style="mediumDashed">
        <color rgb="FF00B050"/>
      </top>
      <bottom/>
    </border>
    <border>
      <left style="mediumDashed">
        <color rgb="FF00B050"/>
      </left>
      <right style="mediumDashed">
        <color rgb="FF00B050"/>
      </right>
      <top/>
      <bottom/>
    </border>
    <border>
      <left/>
      <right/>
      <top style="mediumDashed">
        <color rgb="FF00B050"/>
      </top>
      <bottom style="mediumDashed">
        <color rgb="FF00B050"/>
      </bottom>
    </border>
    <border>
      <left style="thick"/>
      <right style="thick"/>
      <top style="thick"/>
      <bottom style="thick"/>
    </border>
    <border>
      <left style="double">
        <color indexed="53"/>
      </left>
      <right style="double">
        <color indexed="53"/>
      </right>
      <top style="double">
        <color indexed="53"/>
      </top>
      <bottom style="double">
        <color indexed="53"/>
      </bottom>
    </border>
    <border>
      <left style="mediumDashed">
        <color rgb="FF00B050"/>
      </left>
      <right/>
      <top/>
      <bottom/>
    </border>
    <border>
      <left/>
      <right style="mediumDashed">
        <color rgb="FF00B050"/>
      </right>
      <top/>
      <bottom/>
    </border>
    <border>
      <left style="mediumDashed">
        <color rgb="FF00B050"/>
      </left>
      <right/>
      <top style="mediumDashed">
        <color rgb="FF00B050"/>
      </top>
      <bottom style="mediumDashed">
        <color rgb="FF00B050"/>
      </bottom>
    </border>
    <border>
      <left/>
      <right style="mediumDashed">
        <color rgb="FF00B050"/>
      </right>
      <top style="mediumDashed">
        <color rgb="FF00B050"/>
      </top>
      <bottom style="mediumDashed">
        <color rgb="FF00B050"/>
      </bottom>
    </border>
    <border>
      <left style="mediumDashed">
        <color rgb="FF00B050"/>
      </left>
      <right/>
      <top style="mediumDashed">
        <color rgb="FF00B050"/>
      </top>
      <bottom/>
    </border>
    <border>
      <left/>
      <right/>
      <top style="mediumDashed">
        <color rgb="FF00B050"/>
      </top>
      <bottom/>
    </border>
    <border>
      <left/>
      <right style="mediumDashed">
        <color rgb="FF00B050"/>
      </right>
      <top style="mediumDashed">
        <color rgb="FF00B050"/>
      </top>
      <bottom/>
    </border>
    <border>
      <left style="mediumDashed">
        <color rgb="FF00B050"/>
      </left>
      <right/>
      <top/>
      <bottom style="mediumDashed">
        <color rgb="FF00B050"/>
      </bottom>
    </border>
    <border>
      <left/>
      <right/>
      <top/>
      <bottom style="mediumDashed">
        <color rgb="FF00B050"/>
      </bottom>
    </border>
    <border>
      <left/>
      <right style="mediumDashed">
        <color rgb="FF00B050"/>
      </right>
      <top/>
      <bottom style="mediumDashed">
        <color rgb="FF00B050"/>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double">
        <color indexed="12"/>
      </left>
      <right style="double">
        <color indexed="12"/>
      </right>
      <top style="double">
        <color indexed="12"/>
      </top>
      <bottom/>
    </border>
    <border>
      <left style="double">
        <color indexed="12"/>
      </left>
      <right style="double">
        <color indexed="12"/>
      </right>
      <top/>
      <bottom/>
    </border>
    <border>
      <left style="double">
        <color indexed="12"/>
      </left>
      <right style="double">
        <color indexed="12"/>
      </right>
      <top/>
      <bottom style="double">
        <color indexed="12"/>
      </bottom>
    </border>
    <border>
      <left/>
      <right/>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horizontal="center" vertical="center"/>
    </xf>
    <xf numFmtId="0" fontId="0" fillId="0" borderId="0" xfId="0" applyAlignment="1">
      <alignment horizontal="right"/>
    </xf>
    <xf numFmtId="2" fontId="0" fillId="0" borderId="0" xfId="0" applyNumberFormat="1" applyAlignment="1">
      <alignment/>
    </xf>
    <xf numFmtId="0" fontId="3" fillId="0" borderId="0" xfId="0" applyFont="1" applyAlignment="1">
      <alignment horizontal="center" vertical="center" wrapText="1"/>
    </xf>
    <xf numFmtId="2" fontId="3" fillId="0" borderId="0" xfId="0" applyNumberFormat="1" applyFont="1" applyAlignment="1">
      <alignment horizontal="center" vertical="center" wrapText="1"/>
    </xf>
    <xf numFmtId="2" fontId="4" fillId="0" borderId="0" xfId="0" applyNumberFormat="1" applyFont="1" applyAlignment="1">
      <alignment horizontal="center" vertical="center" wrapText="1"/>
    </xf>
    <xf numFmtId="0" fontId="0" fillId="0" borderId="0" xfId="0" applyAlignment="1">
      <alignment horizontal="right" wrapText="1"/>
    </xf>
    <xf numFmtId="2" fontId="0" fillId="0" borderId="0" xfId="0" applyNumberFormat="1" applyAlignment="1">
      <alignment wrapText="1"/>
    </xf>
    <xf numFmtId="0" fontId="0" fillId="0" borderId="0" xfId="0" applyAlignment="1">
      <alignment wrapText="1"/>
    </xf>
    <xf numFmtId="0" fontId="3" fillId="0" borderId="0" xfId="0" applyFont="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xf>
    <xf numFmtId="1" fontId="0" fillId="0" borderId="0" xfId="0" applyNumberFormat="1" applyAlignment="1">
      <alignment/>
    </xf>
    <xf numFmtId="1" fontId="0" fillId="0" borderId="10" xfId="0" applyNumberFormat="1" applyBorder="1" applyAlignment="1">
      <alignment horizontal="center"/>
    </xf>
    <xf numFmtId="0" fontId="0" fillId="0" borderId="0" xfId="0" applyAlignment="1">
      <alignment vertical="top" wrapText="1"/>
    </xf>
    <xf numFmtId="2" fontId="8" fillId="0" borderId="11" xfId="0" applyNumberFormat="1" applyFont="1" applyBorder="1" applyAlignment="1">
      <alignment/>
    </xf>
    <xf numFmtId="0" fontId="3" fillId="0" borderId="0" xfId="0" applyFont="1" applyAlignment="1">
      <alignment horizontal="center"/>
    </xf>
    <xf numFmtId="0" fontId="0" fillId="0" borderId="0" xfId="0" applyAlignment="1">
      <alignment horizontal="center" vertical="center" wrapText="1"/>
    </xf>
    <xf numFmtId="0" fontId="0" fillId="0" borderId="0" xfId="0" applyBorder="1" applyAlignment="1">
      <alignment vertical="top" wrapText="1"/>
    </xf>
    <xf numFmtId="0" fontId="3" fillId="0" borderId="0" xfId="0" applyFont="1" applyAlignment="1">
      <alignment horizontal="right"/>
    </xf>
    <xf numFmtId="0" fontId="3" fillId="0" borderId="0" xfId="0" applyFont="1" applyAlignment="1">
      <alignment/>
    </xf>
    <xf numFmtId="0" fontId="5" fillId="0" borderId="0" xfId="0" applyFont="1" applyAlignment="1">
      <alignment vertical="top"/>
    </xf>
    <xf numFmtId="0" fontId="3" fillId="0" borderId="0" xfId="0" applyFont="1" applyAlignment="1">
      <alignment vertical="top"/>
    </xf>
    <xf numFmtId="0" fontId="0" fillId="0" borderId="0" xfId="0" applyAlignment="1">
      <alignment/>
    </xf>
    <xf numFmtId="0" fontId="3" fillId="0" borderId="0" xfId="0" applyFont="1" applyBorder="1" applyAlignment="1">
      <alignment horizontal="right" vertical="top"/>
    </xf>
    <xf numFmtId="0" fontId="8" fillId="0" borderId="0" xfId="0" applyFont="1" applyBorder="1" applyAlignment="1">
      <alignment/>
    </xf>
    <xf numFmtId="0" fontId="0" fillId="0" borderId="0" xfId="0" applyAlignment="1">
      <alignment horizontal="center" wrapText="1"/>
    </xf>
    <xf numFmtId="0" fontId="3" fillId="0" borderId="0" xfId="0" applyFont="1" applyAlignment="1">
      <alignment horizontal="right" vertical="center"/>
    </xf>
    <xf numFmtId="2" fontId="8" fillId="0" borderId="0" xfId="0" applyNumberFormat="1" applyFont="1" applyBorder="1" applyAlignment="1">
      <alignment/>
    </xf>
    <xf numFmtId="0" fontId="0" fillId="0" borderId="0" xfId="0" applyBorder="1" applyAlignment="1">
      <alignment/>
    </xf>
    <xf numFmtId="1" fontId="0" fillId="0" borderId="0" xfId="0" applyNumberFormat="1" applyBorder="1" applyAlignment="1">
      <alignment horizontal="center"/>
    </xf>
    <xf numFmtId="0" fontId="9" fillId="0" borderId="0" xfId="0" applyFont="1" applyAlignment="1">
      <alignment horizontal="center" vertical="center" wrapText="1"/>
    </xf>
    <xf numFmtId="0" fontId="0" fillId="0" borderId="12" xfId="0" applyBorder="1" applyAlignment="1">
      <alignment horizontal="right"/>
    </xf>
    <xf numFmtId="0" fontId="0" fillId="0" borderId="12" xfId="0" applyBorder="1" applyAlignment="1">
      <alignment/>
    </xf>
    <xf numFmtId="2" fontId="0" fillId="0" borderId="0" xfId="0" applyNumberFormat="1" applyBorder="1" applyAlignment="1">
      <alignment/>
    </xf>
    <xf numFmtId="0" fontId="0" fillId="0" borderId="0" xfId="0" applyFill="1" applyAlignment="1">
      <alignment horizontal="center"/>
    </xf>
    <xf numFmtId="0" fontId="0" fillId="0" borderId="0" xfId="0" applyAlignment="1">
      <alignment horizontal="left" vertical="top" wrapText="1"/>
    </xf>
    <xf numFmtId="14" fontId="0" fillId="0" borderId="0" xfId="0" applyNumberFormat="1" applyAlignment="1">
      <alignment horizontal="center" vertical="center"/>
    </xf>
    <xf numFmtId="2" fontId="8" fillId="0" borderId="11" xfId="0" applyNumberFormat="1" applyFont="1" applyBorder="1" applyAlignment="1">
      <alignment horizontal="center"/>
    </xf>
    <xf numFmtId="1" fontId="0" fillId="0" borderId="0" xfId="0" applyNumberFormat="1" applyAlignment="1">
      <alignment horizontal="center"/>
    </xf>
    <xf numFmtId="1" fontId="0" fillId="33" borderId="13" xfId="0" applyNumberFormat="1" applyFill="1" applyBorder="1" applyAlignment="1">
      <alignment horizontal="center"/>
    </xf>
    <xf numFmtId="1" fontId="0" fillId="33" borderId="14" xfId="0" applyNumberFormat="1" applyFill="1" applyBorder="1" applyAlignment="1">
      <alignment horizontal="center"/>
    </xf>
    <xf numFmtId="1" fontId="0" fillId="33" borderId="15" xfId="0" applyNumberFormat="1" applyFill="1" applyBorder="1" applyAlignment="1">
      <alignment horizontal="center"/>
    </xf>
    <xf numFmtId="1" fontId="0" fillId="0" borderId="16" xfId="0" applyNumberFormat="1" applyBorder="1" applyAlignment="1">
      <alignment horizontal="center"/>
    </xf>
    <xf numFmtId="1" fontId="0" fillId="34" borderId="17" xfId="0" applyNumberFormat="1" applyFill="1" applyBorder="1" applyAlignment="1">
      <alignment horizontal="center"/>
    </xf>
    <xf numFmtId="1" fontId="0" fillId="34" borderId="18" xfId="0" applyNumberFormat="1" applyFill="1" applyBorder="1" applyAlignment="1">
      <alignment horizontal="center"/>
    </xf>
    <xf numFmtId="44" fontId="3" fillId="0" borderId="0" xfId="44" applyFont="1" applyAlignment="1">
      <alignment horizontal="center" vertical="center" wrapText="1"/>
    </xf>
    <xf numFmtId="0" fontId="0" fillId="0" borderId="0" xfId="0" applyFont="1" applyAlignment="1">
      <alignment horizontal="center" vertical="center"/>
    </xf>
    <xf numFmtId="0" fontId="0" fillId="0" borderId="19" xfId="0" applyBorder="1" applyAlignment="1">
      <alignment/>
    </xf>
    <xf numFmtId="0" fontId="0" fillId="0" borderId="0" xfId="0" applyFont="1" applyAlignment="1">
      <alignment/>
    </xf>
    <xf numFmtId="0" fontId="8" fillId="0" borderId="0" xfId="0" applyFont="1" applyAlignment="1" applyProtection="1">
      <alignment/>
      <protection locked="0"/>
    </xf>
    <xf numFmtId="0" fontId="8" fillId="0" borderId="0" xfId="0" applyFont="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right"/>
      <protection/>
    </xf>
    <xf numFmtId="2" fontId="0" fillId="0" borderId="0" xfId="0" applyNumberFormat="1" applyAlignment="1">
      <alignment horizontal="center"/>
    </xf>
    <xf numFmtId="2" fontId="0" fillId="0" borderId="0" xfId="0" applyNumberFormat="1" applyFill="1" applyBorder="1" applyAlignment="1">
      <alignment horizontal="center"/>
    </xf>
    <xf numFmtId="164" fontId="0" fillId="0" borderId="0" xfId="0" applyNumberFormat="1" applyFont="1" applyAlignment="1">
      <alignment horizontal="center"/>
    </xf>
    <xf numFmtId="0" fontId="8" fillId="0" borderId="20" xfId="0" applyFont="1" applyBorder="1" applyAlignment="1" applyProtection="1">
      <alignment horizontal="center"/>
      <protection locked="0"/>
    </xf>
    <xf numFmtId="0" fontId="8" fillId="0" borderId="21" xfId="0" applyFont="1" applyBorder="1" applyAlignment="1" applyProtection="1">
      <alignment horizontal="center"/>
      <protection locked="0"/>
    </xf>
    <xf numFmtId="2" fontId="0" fillId="35" borderId="22" xfId="0" applyNumberFormat="1" applyFill="1" applyBorder="1" applyAlignment="1" applyProtection="1">
      <alignment horizontal="center"/>
      <protection locked="0"/>
    </xf>
    <xf numFmtId="2" fontId="0" fillId="35" borderId="23" xfId="0" applyNumberFormat="1" applyFill="1" applyBorder="1" applyAlignment="1" applyProtection="1">
      <alignment horizontal="center"/>
      <protection locked="0"/>
    </xf>
    <xf numFmtId="2" fontId="0" fillId="35" borderId="24" xfId="0" applyNumberFormat="1" applyFill="1" applyBorder="1" applyAlignment="1" applyProtection="1">
      <alignment horizontal="center"/>
      <protection locked="0"/>
    </xf>
    <xf numFmtId="0" fontId="57" fillId="0" borderId="0" xfId="0" applyFont="1" applyAlignment="1">
      <alignment/>
    </xf>
    <xf numFmtId="14" fontId="8" fillId="0" borderId="21" xfId="0" applyNumberFormat="1"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2" fontId="8" fillId="0" borderId="21"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0" fillId="0" borderId="27" xfId="0" applyBorder="1" applyAlignment="1">
      <alignment/>
    </xf>
    <xf numFmtId="0" fontId="0" fillId="0" borderId="0" xfId="0" applyFont="1" applyAlignment="1">
      <alignment horizontal="right"/>
    </xf>
    <xf numFmtId="9" fontId="0" fillId="0" borderId="0" xfId="0" applyNumberFormat="1" applyAlignment="1">
      <alignment horizontal="center"/>
    </xf>
    <xf numFmtId="0" fontId="0" fillId="33" borderId="28" xfId="0" applyFill="1" applyBorder="1" applyAlignment="1" applyProtection="1">
      <alignment horizontal="center"/>
      <protection/>
    </xf>
    <xf numFmtId="0" fontId="3" fillId="33" borderId="28" xfId="0" applyFont="1" applyFill="1" applyBorder="1" applyAlignment="1" applyProtection="1">
      <alignment horizontal="center" vertical="center"/>
      <protection/>
    </xf>
    <xf numFmtId="165" fontId="0" fillId="0" borderId="0" xfId="0" applyNumberFormat="1" applyAlignment="1">
      <alignment/>
    </xf>
    <xf numFmtId="0" fontId="58" fillId="0" borderId="0" xfId="0" applyFont="1" applyAlignment="1">
      <alignment/>
    </xf>
    <xf numFmtId="0" fontId="5" fillId="0" borderId="0" xfId="0" applyFont="1" applyAlignment="1">
      <alignment vertical="top"/>
    </xf>
    <xf numFmtId="0" fontId="3" fillId="0" borderId="0" xfId="0" applyFont="1" applyBorder="1" applyAlignment="1">
      <alignment horizontal="center" vertical="center" wrapText="1"/>
    </xf>
    <xf numFmtId="1" fontId="0" fillId="0" borderId="0" xfId="0" applyNumberFormat="1" applyBorder="1" applyAlignment="1" applyProtection="1">
      <alignment horizontal="center"/>
      <protection locked="0"/>
    </xf>
    <xf numFmtId="0" fontId="0" fillId="0" borderId="0" xfId="0" applyFont="1" applyAlignment="1">
      <alignment/>
    </xf>
    <xf numFmtId="0" fontId="8" fillId="0" borderId="0" xfId="0" applyFont="1" applyAlignment="1" applyProtection="1">
      <alignment/>
      <protection/>
    </xf>
    <xf numFmtId="1" fontId="0" fillId="0" borderId="29" xfId="0" applyNumberFormat="1" applyBorder="1" applyAlignment="1" applyProtection="1">
      <alignment horizontal="center"/>
      <protection/>
    </xf>
    <xf numFmtId="166" fontId="0" fillId="0" borderId="0" xfId="0" applyNumberFormat="1" applyAlignment="1">
      <alignment/>
    </xf>
    <xf numFmtId="0" fontId="3" fillId="0" borderId="0" xfId="0"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right"/>
      <protection hidden="1"/>
    </xf>
    <xf numFmtId="2" fontId="8" fillId="0" borderId="11" xfId="0" applyNumberFormat="1" applyFont="1" applyBorder="1" applyAlignment="1" applyProtection="1">
      <alignment horizontal="center"/>
      <protection hidden="1"/>
    </xf>
    <xf numFmtId="0" fontId="3" fillId="0" borderId="0" xfId="0" applyFont="1" applyAlignment="1" applyProtection="1">
      <alignment horizontal="left"/>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0" fillId="0" borderId="0" xfId="0" applyFill="1" applyAlignment="1" applyProtection="1">
      <alignment horizontal="center"/>
      <protection hidden="1"/>
    </xf>
    <xf numFmtId="164" fontId="0" fillId="0" borderId="0" xfId="0" applyNumberFormat="1" applyAlignment="1" applyProtection="1">
      <alignment horizontal="center"/>
      <protection hidden="1"/>
    </xf>
    <xf numFmtId="164" fontId="0" fillId="36" borderId="22" xfId="0" applyNumberFormat="1" applyFill="1" applyBorder="1" applyAlignment="1" applyProtection="1">
      <alignment horizontal="center"/>
      <protection hidden="1"/>
    </xf>
    <xf numFmtId="0" fontId="0" fillId="0" borderId="0" xfId="0" applyAlignment="1" applyProtection="1">
      <alignment horizontal="center"/>
      <protection hidden="1"/>
    </xf>
    <xf numFmtId="164" fontId="0" fillId="0" borderId="0" xfId="0" applyNumberFormat="1" applyAlignment="1" applyProtection="1">
      <alignment/>
      <protection hidden="1"/>
    </xf>
    <xf numFmtId="164" fontId="0" fillId="36" borderId="23" xfId="0" applyNumberFormat="1" applyFill="1" applyBorder="1" applyAlignment="1" applyProtection="1">
      <alignment horizontal="center"/>
      <protection hidden="1"/>
    </xf>
    <xf numFmtId="0" fontId="3" fillId="0" borderId="0" xfId="0" applyFont="1" applyAlignment="1" applyProtection="1">
      <alignment horizontal="center" vertical="center"/>
      <protection hidden="1"/>
    </xf>
    <xf numFmtId="164" fontId="3" fillId="0" borderId="0" xfId="0" applyNumberFormat="1" applyFont="1" applyAlignment="1" applyProtection="1">
      <alignment horizontal="right"/>
      <protection hidden="1"/>
    </xf>
    <xf numFmtId="1" fontId="0" fillId="0" borderId="29" xfId="0" applyNumberFormat="1" applyBorder="1" applyAlignment="1" applyProtection="1">
      <alignment horizontal="center"/>
      <protection hidden="1"/>
    </xf>
    <xf numFmtId="1" fontId="0" fillId="0" borderId="0" xfId="0" applyNumberFormat="1" applyBorder="1" applyAlignment="1" applyProtection="1">
      <alignment horizontal="center"/>
      <protection hidden="1"/>
    </xf>
    <xf numFmtId="0" fontId="0" fillId="0" borderId="0" xfId="0" applyFont="1" applyAlignment="1" applyProtection="1">
      <alignment/>
      <protection hidden="1"/>
    </xf>
    <xf numFmtId="2" fontId="0" fillId="0" borderId="0" xfId="0" applyNumberFormat="1" applyAlignment="1" applyProtection="1">
      <alignment/>
      <protection hidden="1"/>
    </xf>
    <xf numFmtId="0" fontId="8" fillId="0" borderId="0" xfId="0" applyFont="1" applyAlignment="1" applyProtection="1">
      <alignment/>
      <protection hidden="1"/>
    </xf>
    <xf numFmtId="0" fontId="8" fillId="0" borderId="0" xfId="0" applyFont="1" applyAlignment="1" applyProtection="1">
      <alignment horizontal="center"/>
      <protection hidden="1"/>
    </xf>
    <xf numFmtId="167" fontId="8" fillId="0" borderId="21" xfId="0" applyNumberFormat="1" applyFont="1" applyBorder="1" applyAlignment="1" applyProtection="1">
      <alignment horizontal="center" vertical="center"/>
      <protection locked="0"/>
    </xf>
    <xf numFmtId="167" fontId="0" fillId="33" borderId="13" xfId="0" applyNumberFormat="1" applyFill="1" applyBorder="1" applyAlignment="1" applyProtection="1">
      <alignment horizontal="center"/>
      <protection/>
    </xf>
    <xf numFmtId="167" fontId="0" fillId="33" borderId="14" xfId="0" applyNumberFormat="1" applyFill="1" applyBorder="1" applyAlignment="1" applyProtection="1">
      <alignment horizontal="center"/>
      <protection/>
    </xf>
    <xf numFmtId="167" fontId="0" fillId="33" borderId="15" xfId="0" applyNumberFormat="1" applyFill="1" applyBorder="1" applyAlignment="1" applyProtection="1">
      <alignment horizontal="center"/>
      <protection/>
    </xf>
    <xf numFmtId="0" fontId="55" fillId="0" borderId="0" xfId="0" applyFont="1" applyAlignment="1">
      <alignment vertical="center"/>
    </xf>
    <xf numFmtId="0" fontId="49" fillId="0" borderId="0" xfId="53" applyAlignment="1">
      <alignment/>
    </xf>
    <xf numFmtId="0" fontId="38" fillId="0" borderId="0" xfId="0" applyFont="1" applyAlignment="1">
      <alignment vertical="center"/>
    </xf>
    <xf numFmtId="0" fontId="59" fillId="0" borderId="0" xfId="0" applyFont="1" applyAlignment="1">
      <alignment/>
    </xf>
    <xf numFmtId="2" fontId="0" fillId="0" borderId="0" xfId="0" applyNumberFormat="1" applyFont="1" applyAlignment="1">
      <alignment/>
    </xf>
    <xf numFmtId="14" fontId="0" fillId="0" borderId="0" xfId="0" applyNumberFormat="1" applyAlignment="1">
      <alignment/>
    </xf>
    <xf numFmtId="0" fontId="6" fillId="0" borderId="0" xfId="0" applyFont="1" applyAlignment="1">
      <alignment horizontal="center"/>
    </xf>
    <xf numFmtId="0" fontId="8" fillId="0" borderId="30" xfId="0" applyFont="1" applyBorder="1" applyAlignment="1" applyProtection="1">
      <alignment/>
      <protection locked="0"/>
    </xf>
    <xf numFmtId="0" fontId="8" fillId="0" borderId="31" xfId="0" applyFont="1" applyBorder="1" applyAlignment="1" applyProtection="1">
      <alignment/>
      <protection locked="0"/>
    </xf>
    <xf numFmtId="0" fontId="8" fillId="0" borderId="32" xfId="0" applyFont="1" applyBorder="1" applyAlignment="1" applyProtection="1">
      <alignment/>
      <protection locked="0"/>
    </xf>
    <xf numFmtId="0" fontId="0" fillId="0" borderId="27" xfId="0" applyBorder="1" applyAlignment="1" applyProtection="1">
      <alignment/>
      <protection locked="0"/>
    </xf>
    <xf numFmtId="0" fontId="0" fillId="0" borderId="33" xfId="0" applyBorder="1" applyAlignment="1" applyProtection="1">
      <alignment/>
      <protection locked="0"/>
    </xf>
    <xf numFmtId="0" fontId="8" fillId="0" borderId="34" xfId="0" applyFont="1"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6" xfId="0" applyBorder="1" applyAlignment="1" applyProtection="1">
      <alignment vertical="top" wrapText="1"/>
      <protection locked="0"/>
    </xf>
    <xf numFmtId="0" fontId="8" fillId="0" borderId="30"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31"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0" xfId="0" applyBorder="1" applyAlignment="1" applyProtection="1">
      <alignment vertical="top" wrapText="1"/>
      <protection locked="0"/>
    </xf>
    <xf numFmtId="0" fontId="8" fillId="0" borderId="37" xfId="0" applyFont="1" applyBorder="1" applyAlignment="1" applyProtection="1">
      <alignment/>
      <protection locked="0"/>
    </xf>
    <xf numFmtId="0" fontId="8" fillId="0" borderId="39" xfId="0" applyFont="1" applyBorder="1" applyAlignment="1" applyProtection="1">
      <alignment/>
      <protection locked="0"/>
    </xf>
    <xf numFmtId="0" fontId="9" fillId="0" borderId="0" xfId="0" applyFont="1" applyBorder="1" applyAlignment="1">
      <alignment horizontal="center" vertical="center" wrapText="1"/>
    </xf>
    <xf numFmtId="0" fontId="3" fillId="0" borderId="0" xfId="0" applyFont="1" applyAlignment="1">
      <alignment wrapText="1"/>
    </xf>
    <xf numFmtId="0" fontId="8" fillId="0" borderId="27" xfId="0" applyFont="1" applyBorder="1" applyAlignment="1" applyProtection="1">
      <alignment/>
      <protection locked="0"/>
    </xf>
    <xf numFmtId="0" fontId="8" fillId="0" borderId="33" xfId="0" applyFont="1" applyBorder="1" applyAlignment="1" applyProtection="1">
      <alignment/>
      <protection locked="0"/>
    </xf>
    <xf numFmtId="0" fontId="3" fillId="0" borderId="0" xfId="0" applyFont="1" applyAlignment="1">
      <alignment horizontal="center"/>
    </xf>
    <xf numFmtId="0" fontId="8" fillId="0" borderId="34" xfId="0" applyFont="1" applyBorder="1" applyAlignment="1" applyProtection="1">
      <alignment/>
      <protection locked="0"/>
    </xf>
    <xf numFmtId="0" fontId="8" fillId="0" borderId="36" xfId="0" applyFont="1" applyBorder="1" applyAlignment="1" applyProtection="1">
      <alignment/>
      <protection locked="0"/>
    </xf>
    <xf numFmtId="0" fontId="8" fillId="0" borderId="0" xfId="0" applyFont="1" applyAlignment="1" applyProtection="1">
      <alignment/>
      <protection hidden="1"/>
    </xf>
    <xf numFmtId="0" fontId="8" fillId="0" borderId="11" xfId="0" applyFont="1" applyBorder="1" applyAlignment="1" applyProtection="1">
      <alignment/>
      <protection hidden="1"/>
    </xf>
    <xf numFmtId="0" fontId="0" fillId="0" borderId="11" xfId="0" applyBorder="1" applyAlignment="1" applyProtection="1">
      <alignment/>
      <protection hidden="1"/>
    </xf>
    <xf numFmtId="0" fontId="8" fillId="0" borderId="40" xfId="0" applyFont="1" applyBorder="1" applyAlignment="1" applyProtection="1">
      <alignment vertical="top" wrapText="1"/>
      <protection hidden="1"/>
    </xf>
    <xf numFmtId="0" fontId="8" fillId="0" borderId="12" xfId="0" applyFont="1" applyBorder="1" applyAlignment="1" applyProtection="1">
      <alignment vertical="top" wrapText="1"/>
      <protection hidden="1"/>
    </xf>
    <xf numFmtId="0" fontId="8" fillId="0" borderId="41" xfId="0" applyFont="1" applyBorder="1" applyAlignment="1" applyProtection="1">
      <alignment vertical="top" wrapText="1"/>
      <protection hidden="1"/>
    </xf>
    <xf numFmtId="0" fontId="8" fillId="0" borderId="42" xfId="0" applyFont="1" applyBorder="1" applyAlignment="1" applyProtection="1">
      <alignment vertical="top" wrapText="1"/>
      <protection hidden="1"/>
    </xf>
    <xf numFmtId="0" fontId="8" fillId="0" borderId="0" xfId="0" applyFont="1" applyBorder="1" applyAlignment="1" applyProtection="1">
      <alignment vertical="top" wrapText="1"/>
      <protection hidden="1"/>
    </xf>
    <xf numFmtId="0" fontId="8" fillId="0" borderId="43" xfId="0" applyFont="1" applyBorder="1" applyAlignment="1" applyProtection="1">
      <alignment vertical="top" wrapText="1"/>
      <protection hidden="1"/>
    </xf>
    <xf numFmtId="0" fontId="8" fillId="0" borderId="44" xfId="0" applyFont="1" applyBorder="1" applyAlignment="1" applyProtection="1">
      <alignment vertical="top" wrapText="1"/>
      <protection hidden="1"/>
    </xf>
    <xf numFmtId="0" fontId="8" fillId="0" borderId="11" xfId="0" applyFont="1" applyBorder="1" applyAlignment="1" applyProtection="1">
      <alignment vertical="top" wrapText="1"/>
      <protection hidden="1"/>
    </xf>
    <xf numFmtId="0" fontId="8" fillId="0" borderId="45" xfId="0" applyFont="1" applyBorder="1" applyAlignment="1" applyProtection="1">
      <alignment vertical="top" wrapText="1"/>
      <protection hidden="1"/>
    </xf>
    <xf numFmtId="0" fontId="3" fillId="0" borderId="0" xfId="0" applyFont="1" applyAlignment="1" applyProtection="1">
      <alignment horizontal="center" vertical="center" wrapText="1"/>
      <protection hidden="1"/>
    </xf>
    <xf numFmtId="0" fontId="0" fillId="0" borderId="0" xfId="0" applyAlignment="1" applyProtection="1">
      <alignment/>
      <protection hidden="1"/>
    </xf>
    <xf numFmtId="1" fontId="5" fillId="0" borderId="46" xfId="0" applyNumberFormat="1" applyFont="1" applyBorder="1" applyAlignment="1">
      <alignment horizontal="center" vertical="center"/>
    </xf>
    <xf numFmtId="1" fontId="0" fillId="0" borderId="47" xfId="0" applyNumberFormat="1" applyBorder="1" applyAlignment="1">
      <alignment horizontal="center" vertical="center"/>
    </xf>
    <xf numFmtId="1" fontId="0" fillId="0" borderId="48" xfId="0" applyNumberFormat="1" applyBorder="1" applyAlignment="1">
      <alignment horizontal="center" vertical="center"/>
    </xf>
    <xf numFmtId="0" fontId="8" fillId="0" borderId="11" xfId="0" applyFont="1" applyBorder="1" applyAlignment="1">
      <alignment/>
    </xf>
    <xf numFmtId="0" fontId="0" fillId="0" borderId="11" xfId="0" applyBorder="1" applyAlignment="1">
      <alignment/>
    </xf>
    <xf numFmtId="0" fontId="8" fillId="0" borderId="49" xfId="0" applyFont="1" applyBorder="1" applyAlignment="1">
      <alignment/>
    </xf>
    <xf numFmtId="0" fontId="8" fillId="0" borderId="50" xfId="0" applyFont="1"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Attenuation of Ambient /Traffic / Construction Sound over Distance</a:t>
            </a:r>
          </a:p>
        </c:rich>
      </c:tx>
      <c:layout>
        <c:manualLayout>
          <c:xMode val="factor"/>
          <c:yMode val="factor"/>
          <c:x val="-0.05275"/>
          <c:y val="0.00175"/>
        </c:manualLayout>
      </c:layout>
      <c:spPr>
        <a:noFill/>
        <a:ln w="3175">
          <a:noFill/>
        </a:ln>
      </c:spPr>
    </c:title>
    <c:plotArea>
      <c:layout>
        <c:manualLayout>
          <c:xMode val="edge"/>
          <c:yMode val="edge"/>
          <c:x val="0.04925"/>
          <c:y val="0.12825"/>
          <c:w val="0.9395"/>
          <c:h val="0.62175"/>
        </c:manualLayout>
      </c:layout>
      <c:scatterChart>
        <c:scatterStyle val="smoothMarker"/>
        <c:varyColors val="0"/>
        <c:ser>
          <c:idx val="0"/>
          <c:order val="0"/>
          <c:tx>
            <c:strRef>
              <c:f>'Attenuation Chart'!$B$5</c:f>
              <c:strCache>
                <c:ptCount val="1"/>
                <c:pt idx="0">
                  <c:v>Traffic Noise (Hard)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Chart'!$B$6:$B$25</c:f>
              <c:numCache>
                <c:ptCount val="20"/>
                <c:pt idx="0">
                  <c:v>4.771212547196624</c:v>
                </c:pt>
                <c:pt idx="1">
                  <c:v>1.7609125905568122</c:v>
                </c:pt>
                <c:pt idx="2">
                  <c:v>-1.249387366083</c:v>
                </c:pt>
                <c:pt idx="3">
                  <c:v>-4.259687322722812</c:v>
                </c:pt>
                <c:pt idx="4">
                  <c:v>-7.269987279362624</c:v>
                </c:pt>
                <c:pt idx="5">
                  <c:v>-10.880287236002436</c:v>
                </c:pt>
                <c:pt idx="6">
                  <c:v>-16.690587192642248</c:v>
                </c:pt>
                <c:pt idx="7">
                  <c:v>-23.70088714928206</c:v>
                </c:pt>
                <c:pt idx="8">
                  <c:v>-33.11118710592187</c:v>
                </c:pt>
                <c:pt idx="9">
                  <c:v>-48.92148706256168</c:v>
                </c:pt>
                <c:pt idx="10">
                  <c:v>-77.5317870192015</c:v>
                </c:pt>
                <c:pt idx="11">
                  <c:v>-131.74208697584132</c:v>
                </c:pt>
                <c:pt idx="12">
                  <c:v>-237.15238693248114</c:v>
                </c:pt>
                <c:pt idx="13">
                  <c:v>-444.96268688912096</c:v>
                </c:pt>
                <c:pt idx="14">
                  <c:v>-857.5729868457609</c:v>
                </c:pt>
                <c:pt idx="15">
                  <c:v>-1679.7832868024007</c:v>
                </c:pt>
                <c:pt idx="16">
                  <c:v>-3321.1935867590405</c:v>
                </c:pt>
                <c:pt idx="17">
                  <c:v>-6601.003886715681</c:v>
                </c:pt>
                <c:pt idx="18">
                  <c:v>-13157.614186672321</c:v>
                </c:pt>
                <c:pt idx="19">
                  <c:v>-26267.824486628964</c:v>
                </c:pt>
              </c:numCache>
            </c:numRef>
          </c:yVal>
          <c:smooth val="1"/>
        </c:ser>
        <c:ser>
          <c:idx val="1"/>
          <c:order val="1"/>
          <c:tx>
            <c:strRef>
              <c:f>'Attenuation Chart'!$C$5</c:f>
              <c:strCache>
                <c:ptCount val="1"/>
                <c:pt idx="0">
                  <c:v>Traffic Noise (Soft)</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FF"/>
              </a:solidFill>
              <a:ln>
                <a:solidFill>
                  <a:srgbClr val="00FFFF"/>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Chart'!$C$6:$C$25</c:f>
              <c:numCache>
                <c:ptCount val="20"/>
                <c:pt idx="0">
                  <c:v>4.771212547196624</c:v>
                </c:pt>
                <c:pt idx="1">
                  <c:v>0.25576261223690633</c:v>
                </c:pt>
                <c:pt idx="2">
                  <c:v>-4.259687322722812</c:v>
                </c:pt>
                <c:pt idx="3">
                  <c:v>-8.775137257682529</c:v>
                </c:pt>
                <c:pt idx="4">
                  <c:v>-13.290587192642247</c:v>
                </c:pt>
                <c:pt idx="5">
                  <c:v>-18.40603712760197</c:v>
                </c:pt>
                <c:pt idx="6">
                  <c:v>-25.72148706256168</c:v>
                </c:pt>
                <c:pt idx="7">
                  <c:v>-34.2369369975214</c:v>
                </c:pt>
                <c:pt idx="8">
                  <c:v>-45.15238693248112</c:v>
                </c:pt>
                <c:pt idx="9">
                  <c:v>-62.46783686744084</c:v>
                </c:pt>
                <c:pt idx="10">
                  <c:v>-92.58328680240055</c:v>
                </c:pt>
                <c:pt idx="11">
                  <c:v>-148.2987367373603</c:v>
                </c:pt>
                <c:pt idx="12">
                  <c:v>-255.21418667232</c:v>
                </c:pt>
                <c:pt idx="13">
                  <c:v>-464.5296366072797</c:v>
                </c:pt>
                <c:pt idx="14">
                  <c:v>-878.6450865422395</c:v>
                </c:pt>
                <c:pt idx="15">
                  <c:v>-1702.3605364771993</c:v>
                </c:pt>
                <c:pt idx="16">
                  <c:v>-3345.275986412159</c:v>
                </c:pt>
                <c:pt idx="17">
                  <c:v>-6626.591436347119</c:v>
                </c:pt>
                <c:pt idx="18">
                  <c:v>-13184.706886282078</c:v>
                </c:pt>
                <c:pt idx="19">
                  <c:v>-26296.42233621704</c:v>
                </c:pt>
              </c:numCache>
            </c:numRef>
          </c:yVal>
          <c:smooth val="1"/>
        </c:ser>
        <c:ser>
          <c:idx val="2"/>
          <c:order val="2"/>
          <c:tx>
            <c:strRef>
              <c:f>'Attenuation Chart'!$D$5</c:f>
              <c:strCache>
                <c:ptCount val="1"/>
                <c:pt idx="0">
                  <c:v>Construction Noise (Hard)</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Chart'!$D$6:$D$25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
          <c:order val="3"/>
          <c:tx>
            <c:strRef>
              <c:f>'Attenuation Chart'!$E$5</c:f>
              <c:strCache>
                <c:ptCount val="1"/>
                <c:pt idx="0">
                  <c:v>Construction Noise (Soft)</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Chart'!$E$6:$E$25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4"/>
          <c:order val="4"/>
          <c:tx>
            <c:strRef>
              <c:f>'Attenuation Chart'!$F$5</c:f>
              <c:strCache>
                <c:ptCount val="1"/>
                <c:pt idx="0">
                  <c:v>Ambient Sound Level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339966"/>
              </a:solidFill>
              <a:ln>
                <a:solidFill>
                  <a:srgbClr val="339966"/>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Chart'!$F$6:$F$25</c:f>
              <c:numCache>
                <c:ptCount val="20"/>
                <c:pt idx="0">
                  <c:v>6.020599913279624</c:v>
                </c:pt>
                <c:pt idx="1">
                  <c:v>3.140063771797543</c:v>
                </c:pt>
                <c:pt idx="2">
                  <c:v>1.3830269816628147</c:v>
                </c:pt>
                <c:pt idx="3">
                  <c:v>0.5406985511266553</c:v>
                </c:pt>
                <c:pt idx="4">
                  <c:v>0.1989482871693926</c:v>
                </c:pt>
                <c:pt idx="5">
                  <c:v>0.06223933094968746</c:v>
                </c:pt>
                <c:pt idx="6">
                  <c:v>0.011615948507373509</c:v>
                </c:pt>
                <c:pt idx="7">
                  <c:v>0.0016368495619040746</c:v>
                </c:pt>
                <c:pt idx="8">
                  <c:v>0.00013259861507425378</c:v>
                </c:pt>
                <c:pt idx="9">
                  <c:v>2.4603704454907824E-06</c:v>
                </c:pt>
                <c:pt idx="10">
                  <c:v>2.395828195254806E-09</c:v>
                </c:pt>
                <c:pt idx="11">
                  <c:v>6.750292265873005E-15</c:v>
                </c:pt>
                <c:pt idx="12">
                  <c:v>0</c:v>
                </c:pt>
                <c:pt idx="13">
                  <c:v>0</c:v>
                </c:pt>
                <c:pt idx="14">
                  <c:v>0</c:v>
                </c:pt>
                <c:pt idx="15">
                  <c:v>0</c:v>
                </c:pt>
                <c:pt idx="16">
                  <c:v>0</c:v>
                </c:pt>
                <c:pt idx="17">
                  <c:v>0</c:v>
                </c:pt>
                <c:pt idx="18">
                  <c:v>0</c:v>
                </c:pt>
                <c:pt idx="19">
                  <c:v>0</c:v>
                </c:pt>
              </c:numCache>
            </c:numRef>
          </c:yVal>
          <c:smooth val="1"/>
        </c:ser>
        <c:axId val="50803880"/>
        <c:axId val="54581737"/>
      </c:scatterChart>
      <c:valAx>
        <c:axId val="50803880"/>
        <c:scaling>
          <c:orientation val="minMax"/>
          <c:max val="35000"/>
          <c:min val="0"/>
        </c:scaling>
        <c:axPos val="b"/>
        <c:title>
          <c:tx>
            <c:rich>
              <a:bodyPr vert="horz" rot="0" anchor="ctr"/>
              <a:lstStyle/>
              <a:p>
                <a:pPr algn="ctr">
                  <a:defRPr/>
                </a:pPr>
                <a:r>
                  <a:rPr lang="en-US" cap="none" sz="1200" b="1" i="0" u="none" baseline="0">
                    <a:solidFill>
                      <a:srgbClr val="000000"/>
                    </a:solidFill>
                    <a:latin typeface="Arial"/>
                    <a:ea typeface="Arial"/>
                    <a:cs typeface="Arial"/>
                  </a:rPr>
                  <a:t>Distance (ft.)</a:t>
                </a:r>
              </a:p>
            </c:rich>
          </c:tx>
          <c:layout>
            <c:manualLayout>
              <c:xMode val="factor"/>
              <c:yMode val="factor"/>
              <c:x val="-0.0325"/>
              <c:y val="-0.02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4581737"/>
        <c:crossesAt val="0"/>
        <c:crossBetween val="midCat"/>
        <c:dispUnits/>
      </c:valAx>
      <c:valAx>
        <c:axId val="54581737"/>
        <c:scaling>
          <c:orientation val="minMax"/>
          <c:max val="100"/>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Sound Level (dBA)</a:t>
                </a:r>
              </a:p>
            </c:rich>
          </c:tx>
          <c:layout>
            <c:manualLayout>
              <c:xMode val="factor"/>
              <c:yMode val="factor"/>
              <c:x val="-0.006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803880"/>
        <c:crossesAt val="0"/>
        <c:crossBetween val="midCat"/>
        <c:dispUnits/>
      </c:valAx>
      <c:spPr>
        <a:solidFill>
          <a:srgbClr val="FFFFFF"/>
        </a:solidFill>
        <a:ln w="12700">
          <a:solidFill>
            <a:srgbClr val="808080"/>
          </a:solidFill>
        </a:ln>
      </c:spPr>
    </c:plotArea>
    <c:legend>
      <c:legendPos val="r"/>
      <c:layout>
        <c:manualLayout>
          <c:xMode val="edge"/>
          <c:yMode val="edge"/>
          <c:x val="0.6115"/>
          <c:y val="0.8355"/>
          <c:w val="0.3885"/>
          <c:h val="0.13"/>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133350</xdr:rowOff>
    </xdr:from>
    <xdr:to>
      <xdr:col>12</xdr:col>
      <xdr:colOff>476250</xdr:colOff>
      <xdr:row>3</xdr:row>
      <xdr:rowOff>66675</xdr:rowOff>
    </xdr:to>
    <xdr:pic>
      <xdr:nvPicPr>
        <xdr:cNvPr id="1" name="CommandButton1"/>
        <xdr:cNvPicPr preferRelativeResize="1">
          <a:picLocks noChangeAspect="1"/>
        </xdr:cNvPicPr>
      </xdr:nvPicPr>
      <xdr:blipFill>
        <a:blip r:embed="rId1"/>
        <a:stretch>
          <a:fillRect/>
        </a:stretch>
      </xdr:blipFill>
      <xdr:spPr>
        <a:xfrm>
          <a:off x="8458200" y="133350"/>
          <a:ext cx="1257300" cy="447675"/>
        </a:xfrm>
        <a:prstGeom prst="rect">
          <a:avLst/>
        </a:prstGeom>
        <a:noFill/>
        <a:ln w="9525" cmpd="sng">
          <a:noFill/>
        </a:ln>
      </xdr:spPr>
    </xdr:pic>
    <xdr:clientData/>
  </xdr:twoCellAnchor>
  <xdr:twoCellAnchor>
    <xdr:from>
      <xdr:col>0</xdr:col>
      <xdr:colOff>142875</xdr:colOff>
      <xdr:row>17</xdr:row>
      <xdr:rowOff>47625</xdr:rowOff>
    </xdr:from>
    <xdr:to>
      <xdr:col>14</xdr:col>
      <xdr:colOff>771525</xdr:colOff>
      <xdr:row>54</xdr:row>
      <xdr:rowOff>104775</xdr:rowOff>
    </xdr:to>
    <xdr:graphicFrame>
      <xdr:nvGraphicFramePr>
        <xdr:cNvPr id="2" name="Chart 8"/>
        <xdr:cNvGraphicFramePr/>
      </xdr:nvGraphicFramePr>
      <xdr:xfrm>
        <a:off x="142875" y="3695700"/>
        <a:ext cx="11620500" cy="6057900"/>
      </xdr:xfrm>
      <a:graphic>
        <a:graphicData uri="http://schemas.openxmlformats.org/drawingml/2006/chart">
          <c:chart xmlns:c="http://schemas.openxmlformats.org/drawingml/2006/chart"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ughlj@wsdot.w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12"/>
  </sheetPr>
  <dimension ref="A1:V68"/>
  <sheetViews>
    <sheetView tabSelected="1" zoomScalePageLayoutView="0" workbookViewId="0" topLeftCell="A1">
      <selection activeCell="B2" sqref="B2"/>
    </sheetView>
  </sheetViews>
  <sheetFormatPr defaultColWidth="9.140625" defaultRowHeight="12.75"/>
  <cols>
    <col min="1" max="1" width="15.8515625" style="0" customWidth="1"/>
    <col min="2" max="2" width="16.57421875" style="0" customWidth="1"/>
    <col min="3" max="3" width="14.140625" style="0" bestFit="1" customWidth="1"/>
    <col min="4" max="4" width="10.57421875" style="0" customWidth="1"/>
    <col min="5" max="5" width="9.8515625" style="0" customWidth="1"/>
    <col min="7" max="7" width="8.00390625" style="0" customWidth="1"/>
    <col min="8" max="8" width="10.8515625" style="0" customWidth="1"/>
  </cols>
  <sheetData>
    <row r="1" spans="1:8" ht="18.75" thickBot="1">
      <c r="A1" s="118" t="s">
        <v>44</v>
      </c>
      <c r="B1" s="118"/>
      <c r="C1" s="118"/>
      <c r="D1" s="118"/>
      <c r="E1" s="118"/>
      <c r="F1" s="118"/>
      <c r="G1" s="118"/>
      <c r="H1" s="118"/>
    </row>
    <row r="2" spans="1:22" ht="15" customHeight="1" thickBot="1">
      <c r="A2" s="21" t="s">
        <v>40</v>
      </c>
      <c r="B2" s="65"/>
      <c r="J2" s="64" t="s">
        <v>115</v>
      </c>
      <c r="O2" s="22" t="s">
        <v>65</v>
      </c>
      <c r="Q2" s="1"/>
      <c r="R2" s="12"/>
      <c r="S2" s="11"/>
      <c r="T2" s="12"/>
      <c r="U2" s="32"/>
      <c r="V2" s="11"/>
    </row>
    <row r="3" spans="1:15" ht="15" customHeight="1" thickBot="1">
      <c r="A3" s="21" t="s">
        <v>37</v>
      </c>
      <c r="B3" s="66"/>
      <c r="C3" s="22" t="s">
        <v>27</v>
      </c>
      <c r="D3" s="121"/>
      <c r="E3" s="122"/>
      <c r="F3" s="122"/>
      <c r="G3" s="122"/>
      <c r="H3" s="123"/>
      <c r="O3" s="82" t="s">
        <v>132</v>
      </c>
    </row>
    <row r="4" spans="1:22" ht="15" customHeight="1" thickBot="1">
      <c r="A4" s="21" t="s">
        <v>38</v>
      </c>
      <c r="B4" s="66"/>
      <c r="C4" s="22" t="s">
        <v>36</v>
      </c>
      <c r="D4" s="2" t="s">
        <v>39</v>
      </c>
      <c r="E4" s="67"/>
      <c r="F4" s="73" t="s">
        <v>41</v>
      </c>
      <c r="G4" s="67"/>
      <c r="O4" s="51" t="s">
        <v>97</v>
      </c>
      <c r="T4" s="3"/>
      <c r="U4" s="3"/>
      <c r="V4" s="3"/>
    </row>
    <row r="5" spans="1:22" ht="15" customHeight="1" thickBot="1">
      <c r="A5" s="24" t="s">
        <v>54</v>
      </c>
      <c r="B5" s="27"/>
      <c r="C5" s="22"/>
      <c r="D5" s="2"/>
      <c r="E5" s="30"/>
      <c r="F5" s="2"/>
      <c r="G5" s="30"/>
      <c r="O5" s="51" t="s">
        <v>98</v>
      </c>
      <c r="T5" s="3"/>
      <c r="U5" s="3"/>
      <c r="V5" s="3"/>
    </row>
    <row r="6" spans="1:22" ht="12.75" customHeight="1">
      <c r="A6" s="124"/>
      <c r="B6" s="125"/>
      <c r="C6" s="125"/>
      <c r="D6" s="125"/>
      <c r="E6" s="125"/>
      <c r="F6" s="125"/>
      <c r="G6" s="125"/>
      <c r="H6" s="126"/>
      <c r="O6" s="51" t="s">
        <v>99</v>
      </c>
      <c r="T6" s="3"/>
      <c r="U6" s="3"/>
      <c r="V6" s="3"/>
    </row>
    <row r="7" spans="1:22" ht="12.75">
      <c r="A7" s="130"/>
      <c r="B7" s="128"/>
      <c r="C7" s="128"/>
      <c r="D7" s="128"/>
      <c r="E7" s="128"/>
      <c r="F7" s="128"/>
      <c r="G7" s="128"/>
      <c r="H7" s="129"/>
      <c r="O7" s="82" t="s">
        <v>133</v>
      </c>
      <c r="T7" s="3"/>
      <c r="U7" s="3"/>
      <c r="V7" s="3"/>
    </row>
    <row r="8" spans="1:22" ht="12.75">
      <c r="A8" s="130"/>
      <c r="B8" s="128"/>
      <c r="C8" s="128"/>
      <c r="D8" s="128"/>
      <c r="E8" s="128"/>
      <c r="F8" s="128"/>
      <c r="G8" s="128"/>
      <c r="H8" s="129"/>
      <c r="O8" t="s">
        <v>134</v>
      </c>
      <c r="T8" s="3"/>
      <c r="U8" s="3"/>
      <c r="V8" s="3"/>
    </row>
    <row r="9" spans="1:22" ht="13.5" thickBot="1">
      <c r="A9" s="131"/>
      <c r="B9" s="132"/>
      <c r="C9" s="132"/>
      <c r="D9" s="132"/>
      <c r="E9" s="132"/>
      <c r="F9" s="132"/>
      <c r="G9" s="132"/>
      <c r="H9" s="133"/>
      <c r="O9" t="s">
        <v>28</v>
      </c>
      <c r="T9" s="3"/>
      <c r="U9" s="3"/>
      <c r="V9" s="3"/>
    </row>
    <row r="10" spans="1:10" ht="13.5" thickBot="1">
      <c r="A10" s="16"/>
      <c r="B10" s="21" t="s">
        <v>60</v>
      </c>
      <c r="C10" s="121" t="s">
        <v>149</v>
      </c>
      <c r="D10" s="139"/>
      <c r="E10" s="139"/>
      <c r="F10" s="139"/>
      <c r="G10" s="139"/>
      <c r="H10" s="140"/>
      <c r="J10" s="2"/>
    </row>
    <row r="11" ht="15">
      <c r="O11" s="112" t="s">
        <v>140</v>
      </c>
    </row>
    <row r="12" spans="1:15" ht="15.75">
      <c r="A12" s="23" t="s">
        <v>42</v>
      </c>
      <c r="B12" s="16"/>
      <c r="C12" s="16"/>
      <c r="D12" s="16"/>
      <c r="E12" s="16"/>
      <c r="F12" s="16"/>
      <c r="G12" s="16"/>
      <c r="H12" s="16"/>
      <c r="O12" s="22" t="s">
        <v>141</v>
      </c>
    </row>
    <row r="13" spans="1:15" ht="13.5" thickBot="1">
      <c r="A13" s="24" t="s">
        <v>43</v>
      </c>
      <c r="B13" s="16"/>
      <c r="C13" s="16"/>
      <c r="D13" s="16"/>
      <c r="E13" s="16"/>
      <c r="F13" s="16"/>
      <c r="G13" s="16"/>
      <c r="H13" s="16"/>
      <c r="O13" s="22" t="s">
        <v>142</v>
      </c>
    </row>
    <row r="14" spans="1:8" ht="12.75" customHeight="1">
      <c r="A14" s="124"/>
      <c r="B14" s="125"/>
      <c r="C14" s="125"/>
      <c r="D14" s="125"/>
      <c r="E14" s="125"/>
      <c r="F14" s="125"/>
      <c r="G14" s="125"/>
      <c r="H14" s="126"/>
    </row>
    <row r="15" spans="1:22" ht="12.75" customHeight="1">
      <c r="A15" s="127"/>
      <c r="B15" s="134"/>
      <c r="C15" s="134"/>
      <c r="D15" s="134"/>
      <c r="E15" s="134"/>
      <c r="F15" s="134"/>
      <c r="G15" s="134"/>
      <c r="H15" s="129"/>
      <c r="O15" s="114" t="s">
        <v>143</v>
      </c>
      <c r="P15" s="115"/>
      <c r="Q15" s="115"/>
      <c r="R15" s="115"/>
      <c r="S15" s="115"/>
      <c r="T15" s="115"/>
      <c r="U15" s="115"/>
      <c r="V15" s="115"/>
    </row>
    <row r="16" spans="1:15" ht="12.75">
      <c r="A16" s="130"/>
      <c r="B16" s="134"/>
      <c r="C16" s="134"/>
      <c r="D16" s="134"/>
      <c r="E16" s="134"/>
      <c r="F16" s="134"/>
      <c r="G16" s="134"/>
      <c r="H16" s="129"/>
      <c r="O16" s="113" t="s">
        <v>144</v>
      </c>
    </row>
    <row r="17" spans="1:8" ht="13.5" thickBot="1">
      <c r="A17" s="131"/>
      <c r="B17" s="132"/>
      <c r="C17" s="132"/>
      <c r="D17" s="132"/>
      <c r="E17" s="132"/>
      <c r="F17" s="132"/>
      <c r="G17" s="132"/>
      <c r="H17" s="133"/>
    </row>
    <row r="18" spans="2:8" s="25" customFormat="1" ht="13.5" thickBot="1">
      <c r="B18" s="26" t="s">
        <v>45</v>
      </c>
      <c r="C18" s="121"/>
      <c r="D18" s="122"/>
      <c r="E18" s="122"/>
      <c r="F18" s="122"/>
      <c r="G18" s="122"/>
      <c r="H18" s="123"/>
    </row>
    <row r="19" spans="2:6" ht="13.5" thickBot="1">
      <c r="B19" s="21" t="s">
        <v>116</v>
      </c>
      <c r="C19" s="60"/>
      <c r="E19" s="21" t="s">
        <v>46</v>
      </c>
      <c r="F19" s="60"/>
    </row>
    <row r="20" spans="5:6" ht="13.5" thickBot="1">
      <c r="E20" s="2" t="s">
        <v>47</v>
      </c>
      <c r="F20" s="60"/>
    </row>
    <row r="21" spans="2:8" ht="26.25" thickBot="1">
      <c r="B21" s="29" t="s">
        <v>48</v>
      </c>
      <c r="C21" s="49" t="s">
        <v>49</v>
      </c>
      <c r="D21" s="108"/>
      <c r="E21" s="28" t="s">
        <v>18</v>
      </c>
      <c r="F21" s="108"/>
      <c r="G21" s="28" t="s">
        <v>19</v>
      </c>
      <c r="H21" s="108"/>
    </row>
    <row r="22" spans="5:6" ht="12.75">
      <c r="E22" s="2"/>
      <c r="F22" s="27"/>
    </row>
    <row r="23" ht="15.75">
      <c r="A23" s="79" t="s">
        <v>119</v>
      </c>
    </row>
    <row r="24" ht="13.5" thickBot="1">
      <c r="A24" s="22" t="s">
        <v>135</v>
      </c>
    </row>
    <row r="25" spans="1:8" ht="12.75" customHeight="1">
      <c r="A25" s="124" t="s">
        <v>150</v>
      </c>
      <c r="B25" s="125"/>
      <c r="C25" s="125"/>
      <c r="D25" s="125"/>
      <c r="E25" s="125"/>
      <c r="F25" s="125"/>
      <c r="G25" s="125"/>
      <c r="H25" s="126"/>
    </row>
    <row r="26" spans="1:8" ht="12.75">
      <c r="A26" s="127"/>
      <c r="B26" s="128"/>
      <c r="C26" s="128"/>
      <c r="D26" s="128"/>
      <c r="E26" s="128"/>
      <c r="F26" s="128"/>
      <c r="G26" s="128"/>
      <c r="H26" s="129"/>
    </row>
    <row r="27" spans="1:8" ht="12.75">
      <c r="A27" s="130"/>
      <c r="B27" s="128"/>
      <c r="C27" s="128"/>
      <c r="D27" s="128"/>
      <c r="E27" s="128"/>
      <c r="F27" s="128"/>
      <c r="G27" s="128"/>
      <c r="H27" s="129"/>
    </row>
    <row r="28" spans="1:8" ht="13.5" thickBot="1">
      <c r="A28" s="131"/>
      <c r="B28" s="132"/>
      <c r="C28" s="132"/>
      <c r="D28" s="132"/>
      <c r="E28" s="132"/>
      <c r="F28" s="132"/>
      <c r="G28" s="132"/>
      <c r="H28" s="133"/>
    </row>
    <row r="29" spans="1:8" ht="13.5" thickBot="1">
      <c r="A29" s="20"/>
      <c r="B29" s="21" t="s">
        <v>123</v>
      </c>
      <c r="C29" s="59"/>
      <c r="D29" s="20" t="s">
        <v>33</v>
      </c>
      <c r="E29" s="20"/>
      <c r="F29" s="20"/>
      <c r="G29" s="20"/>
      <c r="H29" s="20"/>
    </row>
    <row r="30" spans="2:8" ht="24.75" thickBot="1">
      <c r="B30" s="29"/>
      <c r="C30" s="2"/>
      <c r="H30" s="33" t="s">
        <v>16</v>
      </c>
    </row>
    <row r="31" spans="2:8" ht="13.5" thickBot="1">
      <c r="B31" s="21" t="s">
        <v>50</v>
      </c>
      <c r="C31" s="66"/>
      <c r="D31" s="50" t="s">
        <v>84</v>
      </c>
      <c r="E31" s="50"/>
      <c r="F31" s="50"/>
      <c r="G31" s="50"/>
      <c r="H31" s="60"/>
    </row>
    <row r="32" ht="13.5" thickBot="1">
      <c r="H32" s="72"/>
    </row>
    <row r="33" spans="2:11" ht="13.5" thickBot="1">
      <c r="B33" s="21" t="s">
        <v>52</v>
      </c>
      <c r="C33" s="121"/>
      <c r="D33" s="122"/>
      <c r="E33" s="122"/>
      <c r="F33" s="123"/>
      <c r="G33" s="50"/>
      <c r="H33" s="60"/>
      <c r="K33" s="37"/>
    </row>
    <row r="34" spans="8:11" ht="13.5" thickBot="1">
      <c r="H34" s="72"/>
      <c r="K34" s="37"/>
    </row>
    <row r="35" spans="2:11" ht="13.5" thickBot="1">
      <c r="B35" s="21" t="s">
        <v>51</v>
      </c>
      <c r="C35" s="68"/>
      <c r="D35" s="50"/>
      <c r="E35" s="50"/>
      <c r="F35" s="50"/>
      <c r="G35" s="50"/>
      <c r="H35" s="60"/>
      <c r="K35" s="37"/>
    </row>
    <row r="36" spans="2:11" ht="12.75">
      <c r="B36" s="21"/>
      <c r="C36" s="31"/>
      <c r="H36" s="31"/>
      <c r="K36" s="37"/>
    </row>
    <row r="37" spans="1:8" ht="15.75">
      <c r="A37" s="23" t="s">
        <v>72</v>
      </c>
      <c r="B37" s="21"/>
      <c r="C37" s="31"/>
      <c r="H37" s="31"/>
    </row>
    <row r="38" spans="1:8" ht="13.5" thickBot="1">
      <c r="A38" s="22" t="s">
        <v>53</v>
      </c>
      <c r="B38" s="21"/>
      <c r="C38" s="31"/>
      <c r="H38" s="31"/>
    </row>
    <row r="39" spans="1:8" ht="12.75" customHeight="1">
      <c r="A39" s="124" t="s">
        <v>151</v>
      </c>
      <c r="B39" s="125"/>
      <c r="C39" s="125"/>
      <c r="D39" s="125"/>
      <c r="E39" s="125"/>
      <c r="F39" s="125"/>
      <c r="G39" s="125"/>
      <c r="H39" s="126"/>
    </row>
    <row r="40" spans="1:8" ht="12.75">
      <c r="A40" s="127"/>
      <c r="B40" s="128"/>
      <c r="C40" s="128"/>
      <c r="D40" s="128"/>
      <c r="E40" s="128"/>
      <c r="F40" s="128"/>
      <c r="G40" s="128"/>
      <c r="H40" s="129"/>
    </row>
    <row r="41" spans="1:8" ht="12.75">
      <c r="A41" s="130"/>
      <c r="B41" s="128"/>
      <c r="C41" s="128"/>
      <c r="D41" s="128"/>
      <c r="E41" s="128"/>
      <c r="F41" s="128"/>
      <c r="G41" s="128"/>
      <c r="H41" s="129"/>
    </row>
    <row r="42" spans="1:8" ht="13.5" thickBot="1">
      <c r="A42" s="131"/>
      <c r="B42" s="132"/>
      <c r="C42" s="132"/>
      <c r="D42" s="132"/>
      <c r="E42" s="132"/>
      <c r="F42" s="132"/>
      <c r="G42" s="132"/>
      <c r="H42" s="133"/>
    </row>
    <row r="43" spans="1:5" ht="12.75">
      <c r="A43" s="22" t="s">
        <v>55</v>
      </c>
      <c r="D43" s="137" t="s">
        <v>57</v>
      </c>
      <c r="E43" s="78" t="s">
        <v>118</v>
      </c>
    </row>
    <row r="44" spans="1:6" ht="13.5" thickBot="1">
      <c r="A44" s="141" t="s">
        <v>7</v>
      </c>
      <c r="B44" s="141"/>
      <c r="D44" s="138"/>
      <c r="F44" s="18" t="s">
        <v>56</v>
      </c>
    </row>
    <row r="45" spans="1:6" ht="12.75">
      <c r="A45" s="142" t="s">
        <v>68</v>
      </c>
      <c r="B45" s="143"/>
      <c r="D45" s="69"/>
      <c r="F45" s="69"/>
    </row>
    <row r="46" spans="1:6" ht="12.75">
      <c r="A46" s="119" t="s">
        <v>69</v>
      </c>
      <c r="B46" s="120"/>
      <c r="D46" s="70"/>
      <c r="F46" s="70"/>
    </row>
    <row r="47" spans="1:6" ht="12.75">
      <c r="A47" s="119" t="s">
        <v>70</v>
      </c>
      <c r="B47" s="120"/>
      <c r="D47" s="70"/>
      <c r="F47" s="70"/>
    </row>
    <row r="48" spans="1:6" ht="12.75">
      <c r="A48" s="119" t="s">
        <v>71</v>
      </c>
      <c r="B48" s="120"/>
      <c r="D48" s="70"/>
      <c r="F48" s="70"/>
    </row>
    <row r="49" spans="1:6" ht="12.75">
      <c r="A49" s="119" t="s">
        <v>139</v>
      </c>
      <c r="B49" s="120"/>
      <c r="D49" s="70"/>
      <c r="F49" s="70"/>
    </row>
    <row r="50" spans="1:6" ht="12.75">
      <c r="A50" s="119" t="s">
        <v>136</v>
      </c>
      <c r="B50" s="120"/>
      <c r="D50" s="70"/>
      <c r="F50" s="70"/>
    </row>
    <row r="51" spans="1:6" ht="12.75">
      <c r="A51" s="119" t="s">
        <v>137</v>
      </c>
      <c r="B51" s="120"/>
      <c r="D51" s="70"/>
      <c r="F51" s="70"/>
    </row>
    <row r="52" spans="1:6" ht="13.5" thickBot="1">
      <c r="A52" s="135"/>
      <c r="B52" s="136"/>
      <c r="D52" s="71"/>
      <c r="F52" s="71"/>
    </row>
    <row r="55" ht="15.75">
      <c r="A55" s="79" t="s">
        <v>120</v>
      </c>
    </row>
    <row r="56" spans="1:6" ht="51">
      <c r="A56" s="10" t="s">
        <v>58</v>
      </c>
      <c r="B56" s="4" t="s">
        <v>121</v>
      </c>
      <c r="C56" s="4" t="s">
        <v>122</v>
      </c>
      <c r="D56" s="4" t="s">
        <v>102</v>
      </c>
      <c r="E56" s="10"/>
      <c r="F56" s="80"/>
    </row>
    <row r="57" spans="1:6" ht="12.75">
      <c r="A57" s="52" t="s">
        <v>67</v>
      </c>
      <c r="B57" s="53"/>
      <c r="C57" s="53"/>
      <c r="D57" s="53"/>
      <c r="E57" s="54"/>
      <c r="F57" s="81"/>
    </row>
    <row r="58" spans="1:6" ht="12.75">
      <c r="A58" s="52" t="s">
        <v>103</v>
      </c>
      <c r="B58" s="53"/>
      <c r="C58" s="53"/>
      <c r="D58" s="53"/>
      <c r="E58" s="54"/>
      <c r="F58" s="81"/>
    </row>
    <row r="59" spans="1:6" ht="12.75">
      <c r="A59" s="52" t="s">
        <v>104</v>
      </c>
      <c r="B59" s="53"/>
      <c r="C59" s="53"/>
      <c r="D59" s="53"/>
      <c r="E59" s="54"/>
      <c r="F59" s="81"/>
    </row>
    <row r="60" spans="1:6" ht="12.75">
      <c r="A60" s="52" t="s">
        <v>105</v>
      </c>
      <c r="B60" s="53"/>
      <c r="C60" s="53"/>
      <c r="D60" s="53"/>
      <c r="E60" s="54"/>
      <c r="F60" s="81"/>
    </row>
    <row r="61" spans="1:6" ht="12.75">
      <c r="A61" s="52" t="s">
        <v>106</v>
      </c>
      <c r="B61" s="53"/>
      <c r="C61" s="53"/>
      <c r="D61" s="53"/>
      <c r="E61" s="54"/>
      <c r="F61" s="81"/>
    </row>
    <row r="62" spans="1:6" ht="12.75">
      <c r="A62" s="52" t="s">
        <v>107</v>
      </c>
      <c r="B62" s="53"/>
      <c r="C62" s="53"/>
      <c r="D62" s="53"/>
      <c r="E62" s="54"/>
      <c r="F62" s="81"/>
    </row>
    <row r="63" spans="1:6" ht="12.75">
      <c r="A63" s="52" t="s">
        <v>108</v>
      </c>
      <c r="B63" s="53"/>
      <c r="C63" s="53"/>
      <c r="D63" s="53"/>
      <c r="E63" s="54"/>
      <c r="F63" s="81"/>
    </row>
    <row r="64" spans="1:6" ht="12.75">
      <c r="A64" s="52" t="s">
        <v>109</v>
      </c>
      <c r="B64" s="53"/>
      <c r="C64" s="53"/>
      <c r="D64" s="53"/>
      <c r="E64" s="54"/>
      <c r="F64" s="81"/>
    </row>
    <row r="65" spans="1:6" ht="12.75">
      <c r="A65" s="52" t="s">
        <v>110</v>
      </c>
      <c r="B65" s="53"/>
      <c r="C65" s="53"/>
      <c r="D65" s="53"/>
      <c r="E65" s="54"/>
      <c r="F65" s="81"/>
    </row>
    <row r="66" spans="1:6" ht="12.75">
      <c r="A66" s="52" t="s">
        <v>111</v>
      </c>
      <c r="B66" s="53"/>
      <c r="C66" s="53"/>
      <c r="D66" s="53"/>
      <c r="E66" s="54"/>
      <c r="F66" s="81"/>
    </row>
    <row r="67" spans="1:6" ht="12.75">
      <c r="A67" s="52" t="s">
        <v>112</v>
      </c>
      <c r="B67" s="53"/>
      <c r="C67" s="53"/>
      <c r="D67" s="53"/>
      <c r="E67" s="54"/>
      <c r="F67" s="81"/>
    </row>
    <row r="68" ht="12.75">
      <c r="F68" s="31"/>
    </row>
  </sheetData>
  <sheetProtection/>
  <protectedRanges>
    <protectedRange sqref="K33:K36" name="Construction Equipment Input"/>
  </protectedRanges>
  <mergeCells count="19">
    <mergeCell ref="A52:B52"/>
    <mergeCell ref="D43:D44"/>
    <mergeCell ref="C10:H10"/>
    <mergeCell ref="A48:B48"/>
    <mergeCell ref="A49:B49"/>
    <mergeCell ref="A50:B50"/>
    <mergeCell ref="A51:B51"/>
    <mergeCell ref="A44:B44"/>
    <mergeCell ref="A45:B45"/>
    <mergeCell ref="A46:B46"/>
    <mergeCell ref="A1:H1"/>
    <mergeCell ref="A47:B47"/>
    <mergeCell ref="C18:H18"/>
    <mergeCell ref="A25:H28"/>
    <mergeCell ref="C33:F33"/>
    <mergeCell ref="A39:H42"/>
    <mergeCell ref="D3:H3"/>
    <mergeCell ref="A6:H9"/>
    <mergeCell ref="A14:H17"/>
  </mergeCells>
  <hyperlinks>
    <hyperlink ref="O16" r:id="rId1" display="mailto:laughlj@wsdot.wa.gov"/>
  </hyperlinks>
  <printOptions/>
  <pageMargins left="0.75" right="0.5" top="0.5" bottom="0.5" header="0.5" footer="0.5"/>
  <pageSetup horizontalDpi="600" verticalDpi="600" orientation="portrait" r:id="rId2"/>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codeName="Sheet2">
    <tabColor indexed="52"/>
  </sheetPr>
  <dimension ref="A1:I40"/>
  <sheetViews>
    <sheetView zoomScalePageLayoutView="0" workbookViewId="0" topLeftCell="A1">
      <selection activeCell="A1" sqref="A1:IV65536"/>
    </sheetView>
  </sheetViews>
  <sheetFormatPr defaultColWidth="9.140625" defaultRowHeight="12.75"/>
  <cols>
    <col min="1" max="1" width="13.7109375" style="87" customWidth="1"/>
    <col min="2" max="2" width="18.57421875" style="87" customWidth="1"/>
    <col min="3" max="3" width="13.57421875" style="87" customWidth="1"/>
    <col min="4" max="4" width="10.00390625" style="87" customWidth="1"/>
    <col min="5" max="5" width="9.140625" style="87" customWidth="1"/>
    <col min="6" max="6" width="12.421875" style="87" customWidth="1"/>
    <col min="7" max="16384" width="9.140625" style="87" customWidth="1"/>
  </cols>
  <sheetData>
    <row r="1" spans="1:8" ht="13.5" thickBot="1">
      <c r="A1" s="86" t="s">
        <v>27</v>
      </c>
      <c r="B1" s="145">
        <f>'Project Info'!$D$3</f>
        <v>0</v>
      </c>
      <c r="C1" s="146"/>
      <c r="D1" s="146"/>
      <c r="E1" s="146"/>
      <c r="F1" s="146"/>
      <c r="G1" s="146"/>
      <c r="H1" s="146"/>
    </row>
    <row r="2" spans="1:5" ht="13.5" thickBot="1">
      <c r="A2" s="86" t="s">
        <v>36</v>
      </c>
      <c r="B2" s="88" t="s">
        <v>39</v>
      </c>
      <c r="C2" s="89">
        <f>'Project Info'!$E$4</f>
        <v>0</v>
      </c>
      <c r="D2" s="88" t="s">
        <v>41</v>
      </c>
      <c r="E2" s="89">
        <f>'Project Info'!$G$4</f>
        <v>0</v>
      </c>
    </row>
    <row r="3" spans="1:3" ht="12.75">
      <c r="A3" s="90" t="s">
        <v>60</v>
      </c>
      <c r="C3" s="87" t="str">
        <f>'Project Info'!C10:H10</f>
        <v>Small equipment operation</v>
      </c>
    </row>
    <row r="5" spans="1:6" ht="26.25" thickBot="1">
      <c r="A5" s="156" t="s">
        <v>7</v>
      </c>
      <c r="B5" s="157"/>
      <c r="C5" s="91" t="s">
        <v>31</v>
      </c>
      <c r="D5" s="91" t="s">
        <v>8</v>
      </c>
      <c r="E5" s="92" t="s">
        <v>2</v>
      </c>
      <c r="F5" s="93" t="s">
        <v>9</v>
      </c>
    </row>
    <row r="6" spans="1:9" ht="13.5" thickBot="1">
      <c r="A6" s="144" t="str">
        <f>'Project Info'!$A$45</f>
        <v>Dump Trucks</v>
      </c>
      <c r="B6" s="144"/>
      <c r="C6" s="94">
        <f>IF('Project Info'!D45="","",'Project Info'!D45)</f>
      </c>
      <c r="D6" s="94">
        <f>IF('Project Info'!F45="","",'Project Info'!F45)</f>
      </c>
      <c r="E6" s="95">
        <f>IF(C6="","",10*LOG(D6*(10^(C6/10))))</f>
      </c>
      <c r="F6" s="96" t="e">
        <f>LARGE($E$6:$E$13,1)</f>
        <v>#NUM!</v>
      </c>
      <c r="G6" s="97"/>
      <c r="I6" s="98"/>
    </row>
    <row r="7" spans="1:9" ht="13.5" thickBot="1">
      <c r="A7" s="144" t="str">
        <f>'Project Info'!$A$46</f>
        <v>Pavers</v>
      </c>
      <c r="B7" s="144"/>
      <c r="C7" s="94">
        <f>IF('Project Info'!D46="","",'Project Info'!D46)</f>
      </c>
      <c r="D7" s="94">
        <f>IF('Project Info'!F46="","",'Project Info'!F46)</f>
      </c>
      <c r="E7" s="95">
        <f aca="true" t="shared" si="0" ref="E7:E13">IF(C7="","",10*LOG(D7*(10^(C7/10))))</f>
      </c>
      <c r="F7" s="96" t="e">
        <f>LARGE($E$6:$E$13,2)</f>
        <v>#NUM!</v>
      </c>
      <c r="G7" s="97"/>
      <c r="I7" s="98"/>
    </row>
    <row r="8" spans="1:9" ht="13.5" thickBot="1">
      <c r="A8" s="144" t="str">
        <f>'Project Info'!$A$47</f>
        <v>Rollers</v>
      </c>
      <c r="B8" s="144"/>
      <c r="C8" s="94">
        <f>IF('Project Info'!D47="","",'Project Info'!D47)</f>
      </c>
      <c r="D8" s="94">
        <f>IF('Project Info'!F47="","",'Project Info'!F47)</f>
      </c>
      <c r="E8" s="95">
        <f t="shared" si="0"/>
      </c>
      <c r="F8" s="96" t="e">
        <f>LARGE($E$6:$E$13,3)</f>
        <v>#NUM!</v>
      </c>
      <c r="G8" s="97">
        <f>IF(MAX($E$6:$E$13)=E8,MAX($E$6:$E$13),"")</f>
      </c>
      <c r="I8" s="98"/>
    </row>
    <row r="9" spans="1:9" ht="12.75">
      <c r="A9" s="144" t="str">
        <f>'Project Info'!$A$48</f>
        <v>Pavement Grinder</v>
      </c>
      <c r="B9" s="144"/>
      <c r="C9" s="94">
        <f>IF('Project Info'!D48="","",'Project Info'!D48)</f>
      </c>
      <c r="D9" s="94">
        <f>IF('Project Info'!F48="","",'Project Info'!F48)</f>
      </c>
      <c r="E9" s="95">
        <f t="shared" si="0"/>
      </c>
      <c r="F9" s="96"/>
      <c r="G9" s="97"/>
      <c r="I9" s="98"/>
    </row>
    <row r="10" spans="1:7" ht="12.75">
      <c r="A10" s="144" t="str">
        <f>'Project Info'!$A$49</f>
        <v>excavator</v>
      </c>
      <c r="B10" s="144"/>
      <c r="C10" s="94">
        <f>IF('Project Info'!D49="","",'Project Info'!D49)</f>
      </c>
      <c r="D10" s="94">
        <f>IF('Project Info'!F49="","",'Project Info'!F49)</f>
      </c>
      <c r="E10" s="95">
        <f t="shared" si="0"/>
      </c>
      <c r="F10" s="99"/>
      <c r="G10" s="97">
        <f>IF(MAX($E$6:$E$13)=E10,MAX($E$6:$E$13),"")</f>
      </c>
    </row>
    <row r="11" spans="1:7" ht="12.75">
      <c r="A11" s="144" t="str">
        <f>'Project Info'!$A$50</f>
        <v>compactor</v>
      </c>
      <c r="B11" s="144"/>
      <c r="C11" s="94">
        <f>IF('Project Info'!D50="","",'Project Info'!D50)</f>
      </c>
      <c r="D11" s="94">
        <f>IF('Project Info'!F50="","",'Project Info'!F50)</f>
      </c>
      <c r="E11" s="95">
        <f t="shared" si="0"/>
      </c>
      <c r="F11" s="99"/>
      <c r="G11" s="97">
        <f>IF(MAX($E$6:$E$13)=E11,MAX($E$6:$E$13),"")</f>
      </c>
    </row>
    <row r="12" spans="1:7" ht="12.75">
      <c r="A12" s="144" t="str">
        <f>'Project Info'!$A$51</f>
        <v>jackhammer</v>
      </c>
      <c r="B12" s="144"/>
      <c r="C12" s="94">
        <f>IF('Project Info'!D51="","",'Project Info'!D51)</f>
      </c>
      <c r="D12" s="94">
        <f>IF('Project Info'!F51="","",'Project Info'!F51)</f>
      </c>
      <c r="E12" s="95">
        <f t="shared" si="0"/>
      </c>
      <c r="F12" s="99"/>
      <c r="G12" s="97"/>
    </row>
    <row r="13" spans="1:7" ht="13.5" thickBot="1">
      <c r="A13" s="144">
        <f>'Project Info'!$A$52</f>
        <v>0</v>
      </c>
      <c r="B13" s="144"/>
      <c r="C13" s="94">
        <f>IF('Project Info'!D52="","",'Project Info'!D52)</f>
      </c>
      <c r="D13" s="94">
        <f>IF('Project Info'!F52="","",'Project Info'!F52)</f>
      </c>
      <c r="E13" s="95">
        <f t="shared" si="0"/>
      </c>
      <c r="F13" s="99"/>
      <c r="G13" s="97"/>
    </row>
    <row r="14" spans="2:7" ht="14.25" thickBot="1" thickTop="1">
      <c r="B14" s="100"/>
      <c r="C14" s="95"/>
      <c r="D14" s="97"/>
      <c r="E14" s="101" t="s">
        <v>117</v>
      </c>
      <c r="F14" s="102" t="e">
        <f>IF($F$6="",0,10*LOG(10^(F6/10)+IF($F$7="",0,10^(F7/10))+IF($F$8="",0,10^(F8/10))))</f>
        <v>#NUM!</v>
      </c>
      <c r="G14" s="97"/>
    </row>
    <row r="15" spans="1:7" ht="13.5" thickTop="1">
      <c r="A15" s="86" t="s">
        <v>65</v>
      </c>
      <c r="B15" s="100"/>
      <c r="C15" s="95"/>
      <c r="D15" s="97"/>
      <c r="E15" s="95"/>
      <c r="F15" s="103"/>
      <c r="G15" s="97"/>
    </row>
    <row r="16" ht="12.75">
      <c r="A16" s="104" t="s">
        <v>96</v>
      </c>
    </row>
    <row r="17" spans="1:7" ht="15.75">
      <c r="A17" s="104" t="s">
        <v>97</v>
      </c>
      <c r="E17" s="105"/>
      <c r="F17" s="105"/>
      <c r="G17" s="105"/>
    </row>
    <row r="18" spans="1:7" ht="15.75">
      <c r="A18" s="104" t="s">
        <v>98</v>
      </c>
      <c r="E18" s="105"/>
      <c r="F18" s="105"/>
      <c r="G18" s="105"/>
    </row>
    <row r="19" spans="1:7" ht="12.75">
      <c r="A19" s="104" t="s">
        <v>99</v>
      </c>
      <c r="E19" s="105"/>
      <c r="F19" s="105"/>
      <c r="G19" s="105"/>
    </row>
    <row r="20" spans="1:7" ht="12.75">
      <c r="A20" s="104" t="s">
        <v>100</v>
      </c>
      <c r="E20" s="105"/>
      <c r="F20" s="105"/>
      <c r="G20" s="105"/>
    </row>
    <row r="21" spans="1:7" ht="12.75">
      <c r="A21" s="87" t="s">
        <v>0</v>
      </c>
      <c r="E21" s="105"/>
      <c r="F21" s="105"/>
      <c r="G21" s="105"/>
    </row>
    <row r="22" spans="1:7" ht="12.75">
      <c r="A22" s="87" t="s">
        <v>28</v>
      </c>
      <c r="E22" s="105"/>
      <c r="F22" s="105"/>
      <c r="G22" s="105"/>
    </row>
    <row r="23" spans="5:7" ht="13.5" thickBot="1">
      <c r="E23" s="105"/>
      <c r="F23" s="105"/>
      <c r="G23" s="105"/>
    </row>
    <row r="24" spans="1:8" ht="12.75">
      <c r="A24" s="147" t="s">
        <v>101</v>
      </c>
      <c r="B24" s="148"/>
      <c r="C24" s="148"/>
      <c r="D24" s="148"/>
      <c r="E24" s="148"/>
      <c r="F24" s="148"/>
      <c r="G24" s="148"/>
      <c r="H24" s="149"/>
    </row>
    <row r="25" spans="1:8" ht="12.75">
      <c r="A25" s="150"/>
      <c r="B25" s="151"/>
      <c r="C25" s="151"/>
      <c r="D25" s="151"/>
      <c r="E25" s="151"/>
      <c r="F25" s="151"/>
      <c r="G25" s="151"/>
      <c r="H25" s="152"/>
    </row>
    <row r="26" spans="1:8" ht="12.75">
      <c r="A26" s="150"/>
      <c r="B26" s="151"/>
      <c r="C26" s="151"/>
      <c r="D26" s="151"/>
      <c r="E26" s="151"/>
      <c r="F26" s="151"/>
      <c r="G26" s="151"/>
      <c r="H26" s="152"/>
    </row>
    <row r="27" spans="1:8" ht="13.5" thickBot="1">
      <c r="A27" s="153"/>
      <c r="B27" s="154"/>
      <c r="C27" s="154"/>
      <c r="D27" s="154"/>
      <c r="E27" s="154"/>
      <c r="F27" s="154"/>
      <c r="G27" s="154"/>
      <c r="H27" s="155"/>
    </row>
    <row r="29" spans="1:6" s="93" customFormat="1" ht="51.75" thickBot="1">
      <c r="A29" s="93" t="s">
        <v>58</v>
      </c>
      <c r="B29" s="93" t="s">
        <v>66</v>
      </c>
      <c r="C29" s="93" t="s">
        <v>59</v>
      </c>
      <c r="D29" s="91" t="s">
        <v>102</v>
      </c>
      <c r="F29" s="93" t="s">
        <v>16</v>
      </c>
    </row>
    <row r="30" spans="1:6" ht="14.25" thickBot="1" thickTop="1">
      <c r="A30" s="106" t="s">
        <v>67</v>
      </c>
      <c r="B30" s="107"/>
      <c r="C30" s="107"/>
      <c r="D30" s="107"/>
      <c r="F30" s="102" t="e">
        <f>IF($F$14=0,0,$F$14-IF(B30="soft",25,20)*LOG(D30/50)-IF(C30&gt;=200,10,IF(C30&gt;=100,5,0))-IF(D30&gt;=2000,IF(D30&gt;=4000,2,(D30-2000)/1000),0)-IF(D30&gt;=1000,(D30-1000)/1000,0))</f>
        <v>#NUM!</v>
      </c>
    </row>
    <row r="31" spans="1:6" ht="14.25" thickBot="1" thickTop="1">
      <c r="A31" s="106" t="s">
        <v>103</v>
      </c>
      <c r="B31" s="107"/>
      <c r="C31" s="107"/>
      <c r="D31" s="107"/>
      <c r="F31" s="102" t="e">
        <f aca="true" t="shared" si="1" ref="F31:F40">IF($F$14=0,0,$F$14-IF(B31="soft",25,20)*LOG(D31/50)-IF(C31&gt;=200,10,IF(C31&gt;=100,5,0))-IF(D31&gt;=2000,IF(D31&gt;=4000,2,(D31-2000)/1000),0)-IF(D31&gt;=1000,(D31-1000)/1000,0))</f>
        <v>#NUM!</v>
      </c>
    </row>
    <row r="32" spans="1:6" ht="14.25" thickBot="1" thickTop="1">
      <c r="A32" s="106" t="s">
        <v>104</v>
      </c>
      <c r="B32" s="107"/>
      <c r="C32" s="107"/>
      <c r="D32" s="107"/>
      <c r="F32" s="102" t="e">
        <f t="shared" si="1"/>
        <v>#NUM!</v>
      </c>
    </row>
    <row r="33" spans="1:6" ht="14.25" thickBot="1" thickTop="1">
      <c r="A33" s="106" t="s">
        <v>105</v>
      </c>
      <c r="B33" s="107"/>
      <c r="C33" s="107"/>
      <c r="D33" s="107"/>
      <c r="F33" s="102" t="e">
        <f t="shared" si="1"/>
        <v>#NUM!</v>
      </c>
    </row>
    <row r="34" spans="1:6" ht="14.25" thickBot="1" thickTop="1">
      <c r="A34" s="106" t="s">
        <v>106</v>
      </c>
      <c r="B34" s="107"/>
      <c r="C34" s="107"/>
      <c r="D34" s="107"/>
      <c r="F34" s="102" t="e">
        <f t="shared" si="1"/>
        <v>#NUM!</v>
      </c>
    </row>
    <row r="35" spans="1:6" ht="14.25" thickBot="1" thickTop="1">
      <c r="A35" s="106" t="s">
        <v>107</v>
      </c>
      <c r="B35" s="107"/>
      <c r="C35" s="107"/>
      <c r="D35" s="107"/>
      <c r="F35" s="102" t="e">
        <f t="shared" si="1"/>
        <v>#NUM!</v>
      </c>
    </row>
    <row r="36" spans="1:6" ht="14.25" thickBot="1" thickTop="1">
      <c r="A36" s="106" t="s">
        <v>108</v>
      </c>
      <c r="B36" s="107"/>
      <c r="C36" s="107"/>
      <c r="D36" s="107"/>
      <c r="F36" s="102" t="e">
        <f t="shared" si="1"/>
        <v>#NUM!</v>
      </c>
    </row>
    <row r="37" spans="1:6" ht="14.25" thickBot="1" thickTop="1">
      <c r="A37" s="106" t="s">
        <v>109</v>
      </c>
      <c r="B37" s="107"/>
      <c r="C37" s="107"/>
      <c r="D37" s="107"/>
      <c r="F37" s="102" t="e">
        <f t="shared" si="1"/>
        <v>#NUM!</v>
      </c>
    </row>
    <row r="38" spans="1:6" ht="14.25" thickBot="1" thickTop="1">
      <c r="A38" s="106" t="s">
        <v>110</v>
      </c>
      <c r="B38" s="107"/>
      <c r="C38" s="107"/>
      <c r="D38" s="107"/>
      <c r="F38" s="102" t="e">
        <f t="shared" si="1"/>
        <v>#NUM!</v>
      </c>
    </row>
    <row r="39" spans="1:6" ht="14.25" thickBot="1" thickTop="1">
      <c r="A39" s="106" t="s">
        <v>111</v>
      </c>
      <c r="B39" s="107"/>
      <c r="C39" s="107"/>
      <c r="D39" s="107"/>
      <c r="F39" s="102" t="e">
        <f t="shared" si="1"/>
        <v>#NUM!</v>
      </c>
    </row>
    <row r="40" spans="1:6" ht="14.25" thickBot="1" thickTop="1">
      <c r="A40" s="106" t="s">
        <v>112</v>
      </c>
      <c r="B40" s="107"/>
      <c r="C40" s="107"/>
      <c r="D40" s="107"/>
      <c r="F40" s="102" t="e">
        <f t="shared" si="1"/>
        <v>#NUM!</v>
      </c>
    </row>
    <row r="41" ht="13.5" thickTop="1"/>
  </sheetData>
  <sheetProtection sheet="1" objects="1" scenarios="1" selectLockedCells="1"/>
  <protectedRanges>
    <protectedRange sqref="B6:D13" name="Construction Equipment Input"/>
  </protectedRanges>
  <mergeCells count="11">
    <mergeCell ref="A11:B11"/>
    <mergeCell ref="A12:B12"/>
    <mergeCell ref="A13:B13"/>
    <mergeCell ref="B1:H1"/>
    <mergeCell ref="A24:H27"/>
    <mergeCell ref="A5:B5"/>
    <mergeCell ref="A6:B6"/>
    <mergeCell ref="A7:B7"/>
    <mergeCell ref="A8:B8"/>
    <mergeCell ref="A9:B9"/>
    <mergeCell ref="A10:B10"/>
  </mergeCells>
  <printOptions/>
  <pageMargins left="0.5" right="0.5" top="1" bottom="1" header="0.5" footer="0.5"/>
  <pageSetup horizontalDpi="600" verticalDpi="600" orientation="portrait"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codeName="Sheet3">
    <tabColor indexed="17"/>
  </sheetPr>
  <dimension ref="A1:N31"/>
  <sheetViews>
    <sheetView zoomScalePageLayoutView="0" workbookViewId="0" topLeftCell="A1">
      <selection activeCell="A1" sqref="A1"/>
    </sheetView>
  </sheetViews>
  <sheetFormatPr defaultColWidth="9.140625" defaultRowHeight="12.75"/>
  <cols>
    <col min="1" max="1" width="14.140625" style="0" customWidth="1"/>
    <col min="2" max="2" width="15.00390625" style="0" customWidth="1"/>
    <col min="3" max="3" width="13.7109375" style="0" customWidth="1"/>
    <col min="4" max="4" width="22.8515625" style="0" customWidth="1"/>
    <col min="5" max="5" width="15.28125" style="0" bestFit="1" customWidth="1"/>
    <col min="6" max="6" width="12.140625" style="0" bestFit="1" customWidth="1"/>
    <col min="9" max="9" width="11.421875" style="0" bestFit="1" customWidth="1"/>
    <col min="11" max="14" width="9.140625" style="0" customWidth="1"/>
  </cols>
  <sheetData>
    <row r="1" spans="1:7" ht="13.5" thickBot="1">
      <c r="A1" t="s">
        <v>27</v>
      </c>
      <c r="B1" s="161">
        <f>'Project Info'!$D$3</f>
        <v>0</v>
      </c>
      <c r="C1" s="162"/>
      <c r="D1" s="162"/>
      <c r="E1" s="162"/>
      <c r="F1" s="162"/>
      <c r="G1" s="162"/>
    </row>
    <row r="2" spans="1:14" ht="14.25" thickBot="1" thickTop="1">
      <c r="A2" t="s">
        <v>36</v>
      </c>
      <c r="B2" s="2" t="s">
        <v>39</v>
      </c>
      <c r="C2" s="40">
        <f>'Project Info'!$E$4</f>
        <v>0</v>
      </c>
      <c r="D2" s="2" t="s">
        <v>41</v>
      </c>
      <c r="E2" s="40">
        <f>'Project Info'!$G$4</f>
        <v>0</v>
      </c>
      <c r="K2" s="51" t="s">
        <v>26</v>
      </c>
      <c r="M2" s="46">
        <f>IF('Project Info'!H35&gt;0,'Project Info'!H35,IF('Project Info'!H33&gt;0,'Project Info'!H33,'Project Info'!H31))</f>
        <v>0</v>
      </c>
      <c r="N2" t="s">
        <v>86</v>
      </c>
    </row>
    <row r="3" spans="11:14" ht="13.5" thickBot="1">
      <c r="K3" s="51" t="s">
        <v>113</v>
      </c>
      <c r="M3" s="47">
        <f>'Project Info'!C29</f>
        <v>0</v>
      </c>
      <c r="N3" t="s">
        <v>33</v>
      </c>
    </row>
    <row r="4" spans="1:2" ht="14.25" thickBot="1" thickTop="1">
      <c r="A4" t="s">
        <v>10</v>
      </c>
      <c r="B4" s="75">
        <f>'Project Info'!C19</f>
        <v>0</v>
      </c>
    </row>
    <row r="5" ht="13.5" thickTop="1">
      <c r="A5" s="10" t="s">
        <v>11</v>
      </c>
    </row>
    <row r="6" spans="1:6" ht="26.25" thickBot="1">
      <c r="A6" s="10" t="s">
        <v>12</v>
      </c>
      <c r="B6" s="4" t="s">
        <v>13</v>
      </c>
      <c r="C6" s="4" t="s">
        <v>14</v>
      </c>
      <c r="D6" s="4" t="s">
        <v>15</v>
      </c>
      <c r="E6" s="4" t="s">
        <v>16</v>
      </c>
      <c r="F6" s="4" t="s">
        <v>32</v>
      </c>
    </row>
    <row r="7" spans="1:6" ht="13.5" customHeight="1" thickTop="1">
      <c r="A7" t="s">
        <v>17</v>
      </c>
      <c r="B7" s="109">
        <f>'Project Info'!D21</f>
        <v>0</v>
      </c>
      <c r="C7" s="41">
        <f>(B7/100)*$B$4</f>
        <v>0</v>
      </c>
      <c r="D7" s="42">
        <f>'Project Info'!F19</f>
        <v>0</v>
      </c>
      <c r="E7" s="41">
        <f>IF(C7&lt;&gt;0,((38.1*LOG(D7)+5.4729)+(10*LOG((C7*50)/D7)-32.25)),0)</f>
        <v>0</v>
      </c>
      <c r="F7" s="158">
        <f>IF(E7&lt;&gt;"",10*LOG(10^(E7/10)+10^(E8/10)+10^(E9/10)),0)</f>
        <v>4.771212547196624</v>
      </c>
    </row>
    <row r="8" spans="1:6" ht="12.75" customHeight="1">
      <c r="A8" t="s">
        <v>18</v>
      </c>
      <c r="B8" s="110">
        <f>'Project Info'!F21</f>
        <v>0</v>
      </c>
      <c r="C8" s="41">
        <f>(B8/100)*$B$4</f>
        <v>0</v>
      </c>
      <c r="D8" s="43">
        <f>IF('Project Info'!$F$20&gt;0,'Project Info'!$F$20,'Project Info'!$F$19)</f>
        <v>0</v>
      </c>
      <c r="E8" s="41">
        <f>IF(C8&lt;&gt;0,((38.1*LOG(D8)+5.4729)+(10*LOG((C8*50)/D8)-32.25)),0)</f>
        <v>0</v>
      </c>
      <c r="F8" s="159"/>
    </row>
    <row r="9" spans="1:6" ht="13.5" customHeight="1" thickBot="1">
      <c r="A9" t="s">
        <v>19</v>
      </c>
      <c r="B9" s="111">
        <f>'Project Info'!H21</f>
        <v>0</v>
      </c>
      <c r="C9" s="41">
        <f>(B9/100)*$B$4</f>
        <v>0</v>
      </c>
      <c r="D9" s="44">
        <f>IF('Project Info'!$F$20&gt;0,'Project Info'!$F$20,'Project Info'!$F$19)</f>
        <v>0</v>
      </c>
      <c r="E9" s="41">
        <f>IF(C9&lt;&gt;0,((38.1*LOG(D9)+5.4729)+(10*LOG((C9*50)/D9)-32.25)),0)</f>
        <v>0</v>
      </c>
      <c r="F9" s="160"/>
    </row>
    <row r="10" ht="14.25" thickBot="1" thickTop="1">
      <c r="E10" s="14"/>
    </row>
    <row r="11" spans="1:6" ht="14.25" thickBot="1" thickTop="1">
      <c r="A11" t="s">
        <v>85</v>
      </c>
      <c r="E11" s="14"/>
      <c r="F11" s="76">
        <f>'Project Info'!H35</f>
        <v>0</v>
      </c>
    </row>
    <row r="12" ht="13.5" thickTop="1">
      <c r="E12" s="14"/>
    </row>
    <row r="13" ht="13.5" thickBot="1">
      <c r="E13" s="14"/>
    </row>
    <row r="14" spans="1:5" ht="13.5" customHeight="1" thickBot="1" thickTop="1">
      <c r="A14" t="s">
        <v>20</v>
      </c>
      <c r="B14" s="74">
        <f>SUM(B7:B9)/100</f>
        <v>0</v>
      </c>
      <c r="C14" s="45">
        <f>SUM(C7:C9)</f>
        <v>0</v>
      </c>
      <c r="D14" s="14" t="s">
        <v>87</v>
      </c>
      <c r="E14" s="14"/>
    </row>
    <row r="15" spans="1:6" ht="13.5" thickTop="1">
      <c r="A15" s="3"/>
      <c r="C15" s="11"/>
      <c r="D15" s="3"/>
      <c r="F15" s="3"/>
    </row>
    <row r="16" spans="1:6" ht="12.75">
      <c r="A16" s="116" t="s">
        <v>146</v>
      </c>
      <c r="D16" s="41" t="e">
        <f>IF('Construction Page'!F14&lt;&gt;0,50*(10^(('Construction Page'!F14-M2)/20)),0)</f>
        <v>#NUM!</v>
      </c>
      <c r="E16" s="3" t="s">
        <v>33</v>
      </c>
      <c r="F16" s="3"/>
    </row>
    <row r="17" spans="1:6" ht="12.75">
      <c r="A17" s="116" t="s">
        <v>145</v>
      </c>
      <c r="D17" s="41" t="e">
        <f>IF('Construction Page'!F14&lt;&gt;0,50*(10^(('Construction Page'!F14-IF($F$7&gt;=$F$11,$F$7,$F$11))/10)),0)</f>
        <v>#NUM!</v>
      </c>
      <c r="E17" s="3" t="s">
        <v>33</v>
      </c>
      <c r="F17" s="3"/>
    </row>
    <row r="18" spans="1:6" ht="12.75">
      <c r="A18" s="116"/>
      <c r="D18" s="41"/>
      <c r="E18" s="3"/>
      <c r="F18" s="3"/>
    </row>
    <row r="19" ht="12.75">
      <c r="D19" s="4" t="s">
        <v>34</v>
      </c>
    </row>
    <row r="20" spans="1:8" ht="12.75">
      <c r="A20" s="116" t="s">
        <v>148</v>
      </c>
      <c r="B20" s="25"/>
      <c r="C20" s="25"/>
      <c r="D20" s="58" t="e">
        <f>IF('Construction Page'!F14="",0,'Construction Page'!F14)-IF(D16&lt;=12.5,0,(20*LOG(D16/50)))</f>
        <v>#NUM!</v>
      </c>
      <c r="H20" s="14"/>
    </row>
    <row r="21" spans="1:8" ht="12.75">
      <c r="A21" s="116" t="s">
        <v>147</v>
      </c>
      <c r="B21" s="25"/>
      <c r="C21" s="25"/>
      <c r="D21" s="58" t="e">
        <f>IF('Construction Page'!F14="",0,'Construction Page'!F14)-IF(D17&lt;=12.5,0,(20*LOG(D17/50))-'Action Area Page '!H9)</f>
        <v>#NUM!</v>
      </c>
      <c r="H21" s="14"/>
    </row>
    <row r="22" spans="1:10" ht="12.75">
      <c r="A22" s="116"/>
      <c r="E22" s="3"/>
      <c r="H22" s="14"/>
      <c r="J22" s="14"/>
    </row>
    <row r="24" spans="1:5" ht="12.75">
      <c r="A24" s="116" t="s">
        <v>146</v>
      </c>
      <c r="D24" s="41" t="e">
        <f>IF('Construction Page'!F14&lt;&gt;0,50*(10^(('Construction Page'!F14-M2)/25)),0)</f>
        <v>#NUM!</v>
      </c>
      <c r="E24" s="3" t="s">
        <v>33</v>
      </c>
    </row>
    <row r="25" spans="1:5" ht="12.75">
      <c r="A25" s="116" t="s">
        <v>147</v>
      </c>
      <c r="D25" s="41" t="e">
        <f>IF('Construction Page'!F14&lt;&gt;0,50*(10^(('Construction Page'!F14-IF($F$7&gt;=$F$11,$F$7,$F$11))/10)),0)</f>
        <v>#NUM!</v>
      </c>
      <c r="E25" s="3" t="s">
        <v>33</v>
      </c>
    </row>
    <row r="26" spans="1:5" ht="12.75">
      <c r="A26" s="116"/>
      <c r="D26" s="41"/>
      <c r="E26" s="3"/>
    </row>
    <row r="27" ht="12.75">
      <c r="D27" s="4" t="s">
        <v>35</v>
      </c>
    </row>
    <row r="28" spans="1:4" ht="12.75">
      <c r="A28" s="116" t="s">
        <v>148</v>
      </c>
      <c r="B28" s="25"/>
      <c r="C28" s="25"/>
      <c r="D28" s="58" t="e">
        <f>IF('Construction Page'!F14="",0,'Construction Page'!F14)-IF(D24&lt;=12.5,0,(25*LOG(D24/50))-'Action Area Page '!H7)</f>
        <v>#NUM!</v>
      </c>
    </row>
    <row r="29" spans="1:5" ht="12.75">
      <c r="A29" s="116" t="s">
        <v>147</v>
      </c>
      <c r="B29" s="25"/>
      <c r="C29" s="25"/>
      <c r="D29" s="58" t="e">
        <f>IF('Construction Page'!F14="",0,'Construction Page'!F14)-IF(D25=12.5,0,(25*LOG(D25/50))-'Action Area Page '!H7)</f>
        <v>#NUM!</v>
      </c>
      <c r="E29" s="77"/>
    </row>
    <row r="30" ht="12.75">
      <c r="E30" s="77"/>
    </row>
    <row r="31" ht="12.75">
      <c r="E31" s="77"/>
    </row>
  </sheetData>
  <sheetProtection sheet="1" selectLockedCells="1" selectUnlockedCells="1"/>
  <protectedRanges>
    <protectedRange sqref="M3" name="Forested Habitat Input"/>
    <protectedRange sqref="M2" name="Ambient Habitat Input"/>
    <protectedRange sqref="B4" name="Traffic Volume Input"/>
    <protectedRange sqref="B7:B9" name="Traffic Percentage Input"/>
    <protectedRange sqref="D7:D9" name="Traffic Speed Input"/>
    <protectedRange sqref="F11" name="Measured Traffic Output"/>
  </protectedRanges>
  <mergeCells count="2">
    <mergeCell ref="F7:F9"/>
    <mergeCell ref="B1:G1"/>
  </mergeCells>
  <printOptions/>
  <pageMargins left="0.75" right="0.75" top="1" bottom="1" header="0.5" footer="0.5"/>
  <pageSetup horizontalDpi="600" verticalDpi="600" orientation="portrait"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codeName="Sheet4">
    <tabColor indexed="13"/>
    <pageSetUpPr fitToPage="1"/>
  </sheetPr>
  <dimension ref="A1:U118"/>
  <sheetViews>
    <sheetView zoomScale="85" zoomScaleNormal="85" zoomScalePageLayoutView="0" workbookViewId="0" topLeftCell="A1">
      <selection activeCell="B1" sqref="B1:J1"/>
    </sheetView>
  </sheetViews>
  <sheetFormatPr defaultColWidth="9.140625" defaultRowHeight="12.75"/>
  <cols>
    <col min="1" max="1" width="14.7109375" style="0" customWidth="1"/>
    <col min="2" max="2" width="12.8515625" style="0" customWidth="1"/>
    <col min="3" max="3" width="15.00390625" style="0" customWidth="1"/>
    <col min="4" max="4" width="10.421875" style="0" customWidth="1"/>
    <col min="5" max="5" width="11.7109375" style="0" bestFit="1" customWidth="1"/>
    <col min="6" max="6" width="14.7109375" style="0" bestFit="1" customWidth="1"/>
    <col min="7" max="7" width="7.421875" style="0" customWidth="1"/>
    <col min="8" max="8" width="12.140625" style="0" customWidth="1"/>
    <col min="9" max="9" width="3.421875" style="0" customWidth="1"/>
    <col min="10" max="10" width="12.140625" style="0" customWidth="1"/>
    <col min="11" max="11" width="12.28125" style="0" bestFit="1" customWidth="1"/>
    <col min="12" max="12" width="11.7109375" style="0" bestFit="1" customWidth="1"/>
    <col min="13" max="13" width="14.421875" style="0" customWidth="1"/>
    <col min="14" max="14" width="11.8515625" style="0" bestFit="1" customWidth="1"/>
    <col min="15" max="15" width="12.00390625" style="0" customWidth="1"/>
    <col min="16" max="16" width="7.57421875" style="0" bestFit="1" customWidth="1"/>
    <col min="17" max="17" width="8.140625" style="0" bestFit="1" customWidth="1"/>
    <col min="18" max="18" width="8.421875" style="0" hidden="1" customWidth="1"/>
    <col min="20" max="20" width="13.28125" style="0" bestFit="1" customWidth="1"/>
    <col min="29" max="29" width="9.28125" style="0" customWidth="1"/>
  </cols>
  <sheetData>
    <row r="1" spans="1:10" ht="13.5" thickBot="1">
      <c r="A1" t="s">
        <v>27</v>
      </c>
      <c r="B1" s="161">
        <f>'Project Info'!$D$3</f>
        <v>0</v>
      </c>
      <c r="C1" s="162"/>
      <c r="D1" s="162"/>
      <c r="E1" s="162"/>
      <c r="F1" s="162"/>
      <c r="G1" s="162"/>
      <c r="H1" s="162"/>
      <c r="I1" s="162"/>
      <c r="J1" s="162"/>
    </row>
    <row r="2" spans="1:14" ht="13.5" thickBot="1">
      <c r="A2" t="s">
        <v>36</v>
      </c>
      <c r="B2" s="34" t="s">
        <v>39</v>
      </c>
      <c r="C2" s="17">
        <f>'Project Info'!$E$4</f>
        <v>0</v>
      </c>
      <c r="D2" s="34" t="s">
        <v>41</v>
      </c>
      <c r="E2" s="17">
        <f>'Project Info'!$G$4</f>
        <v>0</v>
      </c>
      <c r="F2" s="35"/>
      <c r="G2" s="35"/>
      <c r="N2" s="82" t="s">
        <v>129</v>
      </c>
    </row>
    <row r="3" spans="1:14" ht="13.5" thickBot="1">
      <c r="A3" t="s">
        <v>30</v>
      </c>
      <c r="B3" s="161" t="str">
        <f>'Project Info'!$C$10</f>
        <v>Small equipment operation</v>
      </c>
      <c r="C3" s="163"/>
      <c r="D3" s="161"/>
      <c r="E3" s="163"/>
      <c r="F3" s="161"/>
      <c r="G3" s="161"/>
      <c r="N3" s="82" t="s">
        <v>130</v>
      </c>
    </row>
    <row r="4" ht="12.75">
      <c r="N4" s="82" t="s">
        <v>131</v>
      </c>
    </row>
    <row r="5" spans="1:16" s="1" customFormat="1" ht="12.75">
      <c r="A5"/>
      <c r="B5"/>
      <c r="C5" s="141" t="s">
        <v>1</v>
      </c>
      <c r="D5" s="141"/>
      <c r="E5" s="141"/>
      <c r="F5" s="141"/>
      <c r="G5" s="141"/>
      <c r="H5" s="141"/>
      <c r="I5" s="18"/>
      <c r="J5"/>
      <c r="K5" s="3"/>
      <c r="L5"/>
      <c r="M5" s="3"/>
      <c r="N5" s="3"/>
      <c r="O5"/>
      <c r="P5"/>
    </row>
    <row r="6" spans="1:21" ht="64.5" thickBot="1">
      <c r="A6" s="4" t="s">
        <v>114</v>
      </c>
      <c r="B6" s="4" t="s">
        <v>124</v>
      </c>
      <c r="C6" s="4" t="s">
        <v>121</v>
      </c>
      <c r="D6" s="4" t="s">
        <v>125</v>
      </c>
      <c r="E6" s="5" t="s">
        <v>88</v>
      </c>
      <c r="F6" s="5" t="s">
        <v>126</v>
      </c>
      <c r="G6" s="6" t="s">
        <v>89</v>
      </c>
      <c r="H6" s="4" t="s">
        <v>90</v>
      </c>
      <c r="I6" s="4"/>
      <c r="J6" s="4" t="s">
        <v>138</v>
      </c>
      <c r="K6" s="5" t="s">
        <v>127</v>
      </c>
      <c r="L6" s="4" t="s">
        <v>91</v>
      </c>
      <c r="M6" s="5" t="s">
        <v>128</v>
      </c>
      <c r="N6" s="4" t="s">
        <v>92</v>
      </c>
      <c r="P6" s="4"/>
      <c r="Q6" s="4"/>
      <c r="R6" s="4"/>
      <c r="T6" s="10" t="s">
        <v>58</v>
      </c>
      <c r="U6" s="10" t="s">
        <v>16</v>
      </c>
    </row>
    <row r="7" spans="1:21" ht="14.25" thickBot="1" thickTop="1">
      <c r="A7" s="55" t="s">
        <v>3</v>
      </c>
      <c r="B7" s="41" t="e">
        <f>IF('Construction Page'!$F$14="",0,'Construction Page'!$F$14)</f>
        <v>#NUM!</v>
      </c>
      <c r="C7" s="11" t="s">
        <v>5</v>
      </c>
      <c r="D7" s="11"/>
      <c r="E7" s="56" t="e">
        <f>IF($M7&lt;2000,0,IF(($M7-2000)/1000&lt;=2,($M7-2000)/1000,2))</f>
        <v>#NUM!</v>
      </c>
      <c r="F7" s="56" t="e">
        <f>IF($M7&lt;1000,0,($M7-1000)/1000)</f>
        <v>#NUM!</v>
      </c>
      <c r="G7" s="56" t="e">
        <f>E7+F7</f>
        <v>#NUM!</v>
      </c>
      <c r="H7" s="61">
        <v>5.9840000000004405</v>
      </c>
      <c r="I7" s="57"/>
      <c r="J7" s="12" t="e">
        <f>IF('Ambient &amp; Traffic Page'!D25&lt;'Ambient &amp; Traffic Page'!D24,IF('Ambient &amp; Traffic Page'!D29&gt;'Ambient &amp; Traffic Page'!M2,'Ambient &amp; Traffic Page'!D28,'Ambient &amp; Traffic Page'!D29),'Ambient &amp; Traffic Page'!D28)</f>
        <v>#NUM!</v>
      </c>
      <c r="K7" s="56" t="e">
        <f>IF(B7=0,0,IF(J7=0,0,(B7-D7-J7)))</f>
        <v>#NUM!</v>
      </c>
      <c r="L7" s="11">
        <v>50</v>
      </c>
      <c r="M7" s="15" t="e">
        <f>L7*(10^((K7-H7)/25))</f>
        <v>#NUM!</v>
      </c>
      <c r="N7" s="56" t="e">
        <f>K7+D7</f>
        <v>#NUM!</v>
      </c>
      <c r="O7" s="85"/>
      <c r="P7" s="3"/>
      <c r="Q7" s="3"/>
      <c r="R7" s="3" t="e">
        <f>ROUND((MAX(B7:B9)+5),-2)</f>
        <v>#NUM!</v>
      </c>
      <c r="T7" s="83" t="str">
        <f>'Project Info'!A57</f>
        <v>Individual #1</v>
      </c>
      <c r="U7" s="84" t="e">
        <f>IF('Construction Page'!$F$14=0,0,'Construction Page'!$F$14-IF('Project Info'!B57="soft",25,20)*LOG('Project Info'!D57/50)-IF('Project Info'!C57&gt;=200,10,IF('Project Info'!C57&gt;=100,5,0))-IF('Project Info'!D57&gt;=2000,IF('Project Info'!D57&gt;=4000,2,('Project Info'!D57-2000)/1000),0)-IF('Project Info'!D57&gt;=1000,('Project Info'!D57-1000)/1000,0))</f>
        <v>#NUM!</v>
      </c>
    </row>
    <row r="8" spans="1:21" ht="14.25" thickBot="1" thickTop="1">
      <c r="A8" s="55" t="s">
        <v>29</v>
      </c>
      <c r="B8" s="41" t="e">
        <f>IF('Construction Page'!$F$14="",0,'Construction Page'!$F$14)</f>
        <v>#NUM!</v>
      </c>
      <c r="C8" s="11" t="s">
        <v>5</v>
      </c>
      <c r="D8" s="11">
        <f>IF('Project Info'!$C$29&gt;=200,10,IF('Project Info'!$C$29&gt;=100,5,0))</f>
        <v>0</v>
      </c>
      <c r="E8" s="56" t="e">
        <f>IF($M8&lt;2000,0,IF(($M8-2000)/1000&lt;=2,($M8-2000)/1000,2))</f>
        <v>#NUM!</v>
      </c>
      <c r="F8" s="56" t="e">
        <f>IF($M8&lt;1000,0,($M8-1000)/1000)</f>
        <v>#NUM!</v>
      </c>
      <c r="G8" s="56" t="e">
        <f>E8+F8</f>
        <v>#NUM!</v>
      </c>
      <c r="H8" s="62">
        <v>5.9840000000004405</v>
      </c>
      <c r="I8" s="57"/>
      <c r="J8" s="12" t="e">
        <f>IF('Ambient &amp; Traffic Page'!D25&lt;'Ambient &amp; Traffic Page'!D24,IF('Ambient &amp; Traffic Page'!D29&gt;'Ambient &amp; Traffic Page'!M2,'Ambient &amp; Traffic Page'!D28,'Ambient &amp; Traffic Page'!D29),'Ambient &amp; Traffic Page'!D28)</f>
        <v>#NUM!</v>
      </c>
      <c r="K8" s="56" t="e">
        <f>IF(B8=0,0,IF(J8=0,0,(B8-D8-J8)))</f>
        <v>#NUM!</v>
      </c>
      <c r="L8" s="11">
        <v>50</v>
      </c>
      <c r="M8" s="15" t="e">
        <f>L8*(10^((K8-H8)/25))</f>
        <v>#NUM!</v>
      </c>
      <c r="N8" s="56" t="e">
        <f>K8+D8</f>
        <v>#NUM!</v>
      </c>
      <c r="O8" s="85"/>
      <c r="R8" s="14" t="e">
        <f>ROUND((MAX(M7:M9)+1000),-2)</f>
        <v>#NUM!</v>
      </c>
      <c r="T8" s="83" t="str">
        <f>'Project Info'!A58</f>
        <v>Individual #2</v>
      </c>
      <c r="U8" s="84" t="e">
        <f>IF('Construction Page'!$F$14=0,0,'Construction Page'!$F$14-IF('Project Info'!B58="soft",25,20)*LOG('Project Info'!D58/50)-IF('Project Info'!C58&gt;=200,10,IF('Project Info'!C58&gt;=100,5,0))-IF('Project Info'!D58&gt;=2000,IF('Project Info'!D58&gt;=4000,2,('Project Info'!D58-2000)/1000),0)-IF('Project Info'!D58&gt;=1000,('Project Info'!D58-1000)/1000,0))</f>
        <v>#NUM!</v>
      </c>
    </row>
    <row r="9" spans="1:21" ht="14.25" thickBot="1" thickTop="1">
      <c r="A9" s="55" t="s">
        <v>4</v>
      </c>
      <c r="B9" s="41" t="e">
        <f>IF('Construction Page'!$F$14="",0,'Construction Page'!$F$14)</f>
        <v>#NUM!</v>
      </c>
      <c r="C9" s="11" t="s">
        <v>6</v>
      </c>
      <c r="D9" s="11"/>
      <c r="E9" s="56" t="e">
        <f>IF($M9&lt;2000,0,IF(($M$9-2000)/1000&lt;=2,($M$9-2000)/1000,2))</f>
        <v>#NUM!</v>
      </c>
      <c r="F9" s="56" t="e">
        <f>IF($M9&lt;1000,0,($M9-1000)/1000)</f>
        <v>#NUM!</v>
      </c>
      <c r="G9" s="56" t="e">
        <f>E9+F9</f>
        <v>#NUM!</v>
      </c>
      <c r="H9" s="63">
        <v>13.774999999998268</v>
      </c>
      <c r="I9" s="57"/>
      <c r="J9" s="12" t="e">
        <f>IF('Ambient &amp; Traffic Page'!D17&lt;'Ambient &amp; Traffic Page'!D16,IF('Ambient &amp; Traffic Page'!D21&gt;'Ambient &amp; Traffic Page'!D20,'Ambient &amp; Traffic Page'!M2,'Ambient &amp; Traffic Page'!D21),'Ambient &amp; Traffic Page'!D20)</f>
        <v>#NUM!</v>
      </c>
      <c r="K9" s="56" t="e">
        <f>IF(B9=0,0,IF(J9=0,0,(B9-D9-J9)))</f>
        <v>#NUM!</v>
      </c>
      <c r="L9" s="11">
        <v>50</v>
      </c>
      <c r="M9" s="15" t="e">
        <f>L9*(10^((K9-H9)/20))</f>
        <v>#NUM!</v>
      </c>
      <c r="N9" s="56" t="e">
        <f>K9+D9</f>
        <v>#NUM!</v>
      </c>
      <c r="O9" s="85"/>
      <c r="T9" s="83" t="str">
        <f>'Project Info'!A59</f>
        <v>Individual #3</v>
      </c>
      <c r="U9" s="84" t="e">
        <f>IF('Construction Page'!$F$14=0,0,'Construction Page'!$F$14-IF('Project Info'!B59="soft",25,20)*LOG('Project Info'!D59/50)-IF('Project Info'!C59&gt;=200,10,IF('Project Info'!C59&gt;=100,5,0))-IF('Project Info'!D59&gt;=2000,IF('Project Info'!D59&gt;=4000,2,('Project Info'!D59-2000)/1000),0)-IF('Project Info'!D59&gt;=1000,('Project Info'!D59-1000)/1000,0))</f>
        <v>#NUM!</v>
      </c>
    </row>
    <row r="10" spans="1:21" ht="14.25" thickBot="1" thickTop="1">
      <c r="A10" s="7"/>
      <c r="B10" s="4"/>
      <c r="C10" s="4"/>
      <c r="D10" s="4"/>
      <c r="E10" s="5"/>
      <c r="F10" s="5"/>
      <c r="G10" s="6"/>
      <c r="H10" s="4"/>
      <c r="I10" s="4"/>
      <c r="J10" s="4"/>
      <c r="K10" s="5"/>
      <c r="L10" s="48"/>
      <c r="M10" s="5"/>
      <c r="N10" s="8"/>
      <c r="O10" s="9"/>
      <c r="P10" s="9"/>
      <c r="T10" s="83" t="str">
        <f>'Project Info'!A60</f>
        <v>Individual #4</v>
      </c>
      <c r="U10" s="84" t="e">
        <f>IF('Construction Page'!$F$14=0,0,'Construction Page'!$F$14-IF('Project Info'!B60="soft",25,20)*LOG('Project Info'!D60/50)-IF('Project Info'!C60&gt;=200,10,IF('Project Info'!C60&gt;=100,5,0))-IF('Project Info'!D60&gt;=2000,IF('Project Info'!D60&gt;=4000,2,('Project Info'!D60-2000)/1000),0)-IF('Project Info'!D60&gt;=1000,('Project Info'!D60-1000)/1000,0))</f>
        <v>#NUM!</v>
      </c>
    </row>
    <row r="11" spans="1:21" ht="14.25" thickBot="1" thickTop="1">
      <c r="A11" s="24" t="s">
        <v>81</v>
      </c>
      <c r="E11" s="3"/>
      <c r="F11" s="3"/>
      <c r="G11" s="3"/>
      <c r="K11" s="3"/>
      <c r="M11" s="36"/>
      <c r="N11" s="3"/>
      <c r="T11" s="83" t="str">
        <f>'Project Info'!A61</f>
        <v>Individual #5</v>
      </c>
      <c r="U11" s="84" t="e">
        <f>IF('Construction Page'!$F$14=0,0,'Construction Page'!$F$14-IF('Project Info'!B61="soft",25,20)*LOG('Project Info'!D61/50)-IF('Project Info'!C61&gt;=200,10,IF('Project Info'!C61&gt;=100,5,0))-IF('Project Info'!D61&gt;=2000,IF('Project Info'!D61&gt;=4000,2,('Project Info'!D61-2000)/1000),0)-IF('Project Info'!D61&gt;=1000,('Project Info'!D61-1000)/1000,0))</f>
        <v>#NUM!</v>
      </c>
    </row>
    <row r="12" spans="1:21" ht="14.25" thickBot="1" thickTop="1">
      <c r="A12" s="164" t="s">
        <v>82</v>
      </c>
      <c r="B12" s="165"/>
      <c r="C12" s="165"/>
      <c r="D12" s="165"/>
      <c r="E12" s="165"/>
      <c r="F12" s="165"/>
      <c r="G12" s="165"/>
      <c r="H12" s="165"/>
      <c r="I12" s="165"/>
      <c r="J12" s="165"/>
      <c r="K12" s="165"/>
      <c r="L12" s="165"/>
      <c r="M12" s="165"/>
      <c r="N12" s="166"/>
      <c r="T12" s="83" t="str">
        <f>'Project Info'!A62</f>
        <v>Individual #6</v>
      </c>
      <c r="U12" s="84" t="e">
        <f>IF('Construction Page'!$F$14=0,0,'Construction Page'!$F$14-IF('Project Info'!B62="soft",25,20)*LOG('Project Info'!D62/50)-IF('Project Info'!C62&gt;=200,10,IF('Project Info'!C62&gt;=100,5,0))-IF('Project Info'!D62&gt;=2000,IF('Project Info'!D62&gt;=4000,2,('Project Info'!D62-2000)/1000),0)-IF('Project Info'!D62&gt;=1000,('Project Info'!D62-1000)/1000,0))</f>
        <v>#NUM!</v>
      </c>
    </row>
    <row r="13" spans="1:21" ht="14.25" thickBot="1" thickTop="1">
      <c r="A13" s="167"/>
      <c r="B13" s="168"/>
      <c r="C13" s="168"/>
      <c r="D13" s="168"/>
      <c r="E13" s="168"/>
      <c r="F13" s="168"/>
      <c r="G13" s="168"/>
      <c r="H13" s="168"/>
      <c r="I13" s="168"/>
      <c r="J13" s="168"/>
      <c r="K13" s="168"/>
      <c r="L13" s="168"/>
      <c r="M13" s="168"/>
      <c r="N13" s="169"/>
      <c r="T13" s="83" t="str">
        <f>'Project Info'!A63</f>
        <v>Individual #7</v>
      </c>
      <c r="U13" s="84" t="e">
        <f>IF('Construction Page'!$F$14=0,0,'Construction Page'!$F$14-IF('Project Info'!B63="soft",25,20)*LOG('Project Info'!D63/50)-IF('Project Info'!C63&gt;=200,10,IF('Project Info'!C63&gt;=100,5,0))-IF('Project Info'!D63&gt;=2000,IF('Project Info'!D63&gt;=4000,2,('Project Info'!D63-2000)/1000),0)-IF('Project Info'!D63&gt;=1000,('Project Info'!D63-1000)/1000,0))</f>
        <v>#NUM!</v>
      </c>
    </row>
    <row r="14" spans="1:21" ht="14.25" thickBot="1" thickTop="1">
      <c r="A14" s="167"/>
      <c r="B14" s="168"/>
      <c r="C14" s="168"/>
      <c r="D14" s="168"/>
      <c r="E14" s="168"/>
      <c r="F14" s="168"/>
      <c r="G14" s="168"/>
      <c r="H14" s="168"/>
      <c r="I14" s="168"/>
      <c r="J14" s="168"/>
      <c r="K14" s="168"/>
      <c r="L14" s="168"/>
      <c r="M14" s="168"/>
      <c r="N14" s="169"/>
      <c r="T14" s="83" t="str">
        <f>'Project Info'!A64</f>
        <v>Individual #8</v>
      </c>
      <c r="U14" s="84" t="e">
        <f>IF('Construction Page'!$F$14=0,0,'Construction Page'!$F$14-IF('Project Info'!B64="soft",25,20)*LOG('Project Info'!D64/50)-IF('Project Info'!C64&gt;=200,10,IF('Project Info'!C64&gt;=100,5,0))-IF('Project Info'!D64&gt;=2000,IF('Project Info'!D64&gt;=4000,2,('Project Info'!D64-2000)/1000),0)-IF('Project Info'!D64&gt;=1000,('Project Info'!D64-1000)/1000,0))</f>
        <v>#NUM!</v>
      </c>
    </row>
    <row r="15" spans="1:21" ht="14.25" thickBot="1" thickTop="1">
      <c r="A15" s="167"/>
      <c r="B15" s="168"/>
      <c r="C15" s="168"/>
      <c r="D15" s="168"/>
      <c r="E15" s="168"/>
      <c r="F15" s="168"/>
      <c r="G15" s="168"/>
      <c r="H15" s="168"/>
      <c r="I15" s="168"/>
      <c r="J15" s="168"/>
      <c r="K15" s="168"/>
      <c r="L15" s="168"/>
      <c r="M15" s="168"/>
      <c r="N15" s="169"/>
      <c r="T15" s="83" t="str">
        <f>'Project Info'!A65</f>
        <v>Individual #9</v>
      </c>
      <c r="U15" s="84" t="e">
        <f>IF('Construction Page'!$F$14=0,0,'Construction Page'!$F$14-IF('Project Info'!B65="soft",25,20)*LOG('Project Info'!D65/50)-IF('Project Info'!C65&gt;=200,10,IF('Project Info'!C65&gt;=100,5,0))-IF('Project Info'!D65&gt;=2000,IF('Project Info'!D65&gt;=4000,2,('Project Info'!D65-2000)/1000),0)-IF('Project Info'!D65&gt;=1000,('Project Info'!D65-1000)/1000,0))</f>
        <v>#NUM!</v>
      </c>
    </row>
    <row r="16" spans="1:21" ht="14.25" thickBot="1" thickTop="1">
      <c r="A16" s="170"/>
      <c r="B16" s="171"/>
      <c r="C16" s="171"/>
      <c r="D16" s="171"/>
      <c r="E16" s="171"/>
      <c r="F16" s="171"/>
      <c r="G16" s="171"/>
      <c r="H16" s="171"/>
      <c r="I16" s="171"/>
      <c r="J16" s="171"/>
      <c r="K16" s="171"/>
      <c r="L16" s="171"/>
      <c r="M16" s="171"/>
      <c r="N16" s="172"/>
      <c r="T16" s="83" t="str">
        <f>'Project Info'!A66</f>
        <v>Individual #10</v>
      </c>
      <c r="U16" s="84" t="e">
        <f>IF('Construction Page'!$F$14=0,0,'Construction Page'!$F$14-IF('Project Info'!B66="soft",25,20)*LOG('Project Info'!D66/50)-IF('Project Info'!C66&gt;=200,10,IF('Project Info'!C66&gt;=100,5,0))-IF('Project Info'!D66&gt;=2000,IF('Project Info'!D66&gt;=4000,2,('Project Info'!D66-2000)/1000),0)-IF('Project Info'!D66&gt;=1000,('Project Info'!D66-1000)/1000,0))</f>
        <v>#NUM!</v>
      </c>
    </row>
    <row r="17" spans="1:21" ht="14.25" thickBot="1" thickTop="1">
      <c r="A17" s="2"/>
      <c r="E17" s="3"/>
      <c r="F17" s="3"/>
      <c r="G17" s="3"/>
      <c r="K17" s="3"/>
      <c r="L17" s="3"/>
      <c r="M17" s="36"/>
      <c r="N17" s="3"/>
      <c r="T17" s="83" t="str">
        <f>'Project Info'!A67</f>
        <v>Individual #11</v>
      </c>
      <c r="U17" s="84" t="e">
        <f>IF('Construction Page'!$F$14=0,0,'Construction Page'!$F$14-IF('Project Info'!B67="soft",25,20)*LOG('Project Info'!D67/50)-IF('Project Info'!C67&gt;=200,10,IF('Project Info'!C67&gt;=100,5,0))-IF('Project Info'!D67&gt;=2000,IF('Project Info'!D67&gt;=4000,2,('Project Info'!D67-2000)/1000),0)-IF('Project Info'!D67&gt;=1000,('Project Info'!D67-1000)/1000,0))</f>
        <v>#NUM!</v>
      </c>
    </row>
    <row r="18" spans="1:14" ht="13.5" thickTop="1">
      <c r="A18" s="2"/>
      <c r="E18" s="3"/>
      <c r="F18" s="3"/>
      <c r="G18" s="3"/>
      <c r="K18" s="3"/>
      <c r="L18" s="3"/>
      <c r="M18" s="36"/>
      <c r="N18" s="3"/>
    </row>
    <row r="19" spans="1:14" ht="12.75">
      <c r="A19" s="2"/>
      <c r="E19" s="3"/>
      <c r="F19" s="3"/>
      <c r="G19" s="3"/>
      <c r="K19" s="3"/>
      <c r="M19" s="36"/>
      <c r="N19" s="3"/>
    </row>
    <row r="20" spans="1:14" ht="12.75">
      <c r="A20" s="2"/>
      <c r="E20" s="3"/>
      <c r="F20" s="3"/>
      <c r="G20" s="3"/>
      <c r="K20" s="3"/>
      <c r="L20" s="3"/>
      <c r="M20" s="3"/>
      <c r="N20" s="3"/>
    </row>
    <row r="21" ht="12.75">
      <c r="A21" s="2"/>
    </row>
    <row r="22" ht="12.75">
      <c r="A22" s="2"/>
    </row>
    <row r="23" ht="12.75">
      <c r="A23" s="2"/>
    </row>
    <row r="24" spans="1:20" ht="12.75">
      <c r="A24" s="2"/>
      <c r="T24" s="14"/>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sheetData>
  <sheetProtection sheet="1" objects="1" scenarios="1"/>
  <protectedRanges>
    <protectedRange sqref="H7:I9" name="Atmospheric and Molecular Absorption Adjustments"/>
  </protectedRanges>
  <mergeCells count="4">
    <mergeCell ref="C5:H5"/>
    <mergeCell ref="B1:J1"/>
    <mergeCell ref="B3:G3"/>
    <mergeCell ref="A12:N16"/>
  </mergeCells>
  <printOptions/>
  <pageMargins left="0.75" right="0.75" top="1" bottom="1" header="0.5" footer="0.5"/>
  <pageSetup fitToHeight="1" fitToWidth="1" horizontalDpi="600" verticalDpi="600" orientation="landscape" scale="73"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6">
    <tabColor indexed="24"/>
  </sheetPr>
  <dimension ref="A1:I26"/>
  <sheetViews>
    <sheetView zoomScalePageLayoutView="0" workbookViewId="0" topLeftCell="A1">
      <selection activeCell="D14" sqref="D14"/>
    </sheetView>
  </sheetViews>
  <sheetFormatPr defaultColWidth="9.140625" defaultRowHeight="12.75"/>
  <cols>
    <col min="1" max="1" width="16.7109375" style="0" customWidth="1"/>
    <col min="2" max="3" width="12.28125" style="0" bestFit="1" customWidth="1"/>
    <col min="4" max="5" width="14.57421875" style="0" bestFit="1" customWidth="1"/>
    <col min="6" max="6" width="16.57421875" style="0" bestFit="1" customWidth="1"/>
  </cols>
  <sheetData>
    <row r="1" spans="1:9" ht="13.5" thickBot="1">
      <c r="A1" t="s">
        <v>27</v>
      </c>
      <c r="B1" s="161">
        <f>'Project Info'!$D$3</f>
        <v>0</v>
      </c>
      <c r="C1" s="162"/>
      <c r="D1" s="162"/>
      <c r="E1" s="162"/>
      <c r="F1" s="162"/>
      <c r="G1" s="162"/>
      <c r="H1" s="162"/>
      <c r="I1" s="162"/>
    </row>
    <row r="2" spans="1:7" ht="13.5" thickBot="1">
      <c r="A2" t="s">
        <v>36</v>
      </c>
      <c r="B2" s="34" t="s">
        <v>39</v>
      </c>
      <c r="C2" s="40">
        <f>'Project Info'!$E$4</f>
        <v>0</v>
      </c>
      <c r="D2" s="34" t="s">
        <v>41</v>
      </c>
      <c r="E2" s="40">
        <f>'Project Info'!$G$4</f>
        <v>0</v>
      </c>
      <c r="F2" s="35"/>
      <c r="G2" s="35"/>
    </row>
    <row r="3" spans="1:7" ht="13.5" thickBot="1">
      <c r="A3" t="s">
        <v>30</v>
      </c>
      <c r="B3" s="161" t="str">
        <f>'Project Info'!$C$10</f>
        <v>Small equipment operation</v>
      </c>
      <c r="C3" s="163"/>
      <c r="D3" s="161"/>
      <c r="E3" s="163"/>
      <c r="F3" s="161"/>
      <c r="G3" s="161"/>
    </row>
    <row r="5" spans="1:6" ht="25.5">
      <c r="A5" s="4" t="s">
        <v>21</v>
      </c>
      <c r="B5" s="4" t="s">
        <v>25</v>
      </c>
      <c r="C5" s="4" t="s">
        <v>24</v>
      </c>
      <c r="D5" s="4" t="s">
        <v>23</v>
      </c>
      <c r="E5" s="4" t="s">
        <v>22</v>
      </c>
      <c r="F5" s="4" t="s">
        <v>26</v>
      </c>
    </row>
    <row r="6" spans="1:6" ht="12.75">
      <c r="A6" s="2">
        <v>50</v>
      </c>
      <c r="B6" s="13">
        <f>IF('Ambient &amp; Traffic Page'!$F$7&gt;='Ambient &amp; Traffic Page'!$F$11,'Ambient &amp; Traffic Page'!$F$7,'Ambient &amp; Traffic Page'!$F$11)-(10*LOG($A6/50)+(IF($A6&gt;1000,($A6-1000)/1000,0))+IF($A6&gt;4000,2,(IF($A6&gt;2000,($A6-2000)/1000,0))))</f>
        <v>4.771212547196624</v>
      </c>
      <c r="C6" s="13">
        <f>IF('Ambient &amp; Traffic Page'!$F$7&gt;='Ambient &amp; Traffic Page'!$F$11,'Ambient &amp; Traffic Page'!$F$7,'Ambient &amp; Traffic Page'!$F$11)-(15*LOG($A6/50)+(IF($A6&gt;1000,($A6-1000)/1000,0))+IF($A6&gt;4000,2,(IF($A6&gt;2000,($A6-2000)/1000,0))))</f>
        <v>4.771212547196624</v>
      </c>
      <c r="D6" s="13" t="e">
        <f>'Construction Page'!$F$14-(20*LOG($A6/50)+(IF($A6&gt;1000,($A6-1000)/1000,0))+IF($A6&gt;4000,2,(IF($A6&gt;2000,($A6-2000)/1000,0))))</f>
        <v>#NUM!</v>
      </c>
      <c r="E6" s="13" t="e">
        <f>'Construction Page'!$F$14-(25*LOG($A6/50)+(IF($A6&gt;1000,($A6-1000)/1000,0))+IF($A6&gt;4000,2,(IF($A6&gt;2000,($A6-2000)/1000,0))))</f>
        <v>#NUM!</v>
      </c>
      <c r="F6" s="13">
        <f>10*LOG(10^(C6/10)+10^('Ambient &amp; Traffic Page'!$M$2/10))</f>
        <v>6.020599913279624</v>
      </c>
    </row>
    <row r="7" spans="1:6" ht="12.75">
      <c r="A7" s="2">
        <f>2*A6</f>
        <v>100</v>
      </c>
      <c r="B7" s="13">
        <f>IF('Ambient &amp; Traffic Page'!$F$7&gt;='Ambient &amp; Traffic Page'!$F$11,'Ambient &amp; Traffic Page'!$F$7,'Ambient &amp; Traffic Page'!$F$11)-(10*LOG($A7/50)+(IF($A7&gt;1000,($A7-1000)/1000,0))+IF($A7&gt;4000,2,(IF($A7&gt;2000,($A7-2000)/1000,0))))</f>
        <v>1.7609125905568122</v>
      </c>
      <c r="C7" s="13">
        <f>IF('Ambient &amp; Traffic Page'!$F$7&gt;='Ambient &amp; Traffic Page'!$F$11,'Ambient &amp; Traffic Page'!$F$7,'Ambient &amp; Traffic Page'!$F$11)-(15*LOG($A7/50)+(IF($A7&gt;1000,($A7-1000)/1000,0))+IF($A7&gt;4000,2,(IF($A7&gt;2000,($A7-2000)/1000,0))))</f>
        <v>0.25576261223690633</v>
      </c>
      <c r="D7" s="13" t="e">
        <f>'Construction Page'!$F$14-(20*LOG($A7/50)+(IF($A7&gt;1000,($A7-1000)/1000,0))+IF($A7&gt;4000,2,(IF($A7&gt;2000,($A7-2000)/1000,0))))</f>
        <v>#NUM!</v>
      </c>
      <c r="E7" s="13" t="e">
        <f>'Construction Page'!$F$14-(25*LOG($A7/50)+(IF($A7&gt;1000,($A7-1000)/1000,0))+IF($A7&gt;4000,2,(IF($A7&gt;2000,($A7-2000)/1000,0))))</f>
        <v>#NUM!</v>
      </c>
      <c r="F7" s="13">
        <f>10*LOG(10^(C7/10)+10^('Ambient &amp; Traffic Page'!$M$2/10))</f>
        <v>3.140063771797543</v>
      </c>
    </row>
    <row r="8" spans="1:6" ht="12.75">
      <c r="A8" s="2">
        <f aca="true" t="shared" si="0" ref="A8:A25">2*A7</f>
        <v>200</v>
      </c>
      <c r="B8" s="13">
        <f>IF('Ambient &amp; Traffic Page'!$F$7&gt;='Ambient &amp; Traffic Page'!$F$11,'Ambient &amp; Traffic Page'!$F$7,'Ambient &amp; Traffic Page'!$F$11)-(10*LOG($A8/50)+(IF($A8&gt;1000,($A8-1000)/1000,0))+IF($A8&gt;4000,2,(IF($A8&gt;2000,($A8-2000)/1000,0))))</f>
        <v>-1.249387366083</v>
      </c>
      <c r="C8" s="13">
        <f>IF('Ambient &amp; Traffic Page'!$F$7&gt;='Ambient &amp; Traffic Page'!$F$11,'Ambient &amp; Traffic Page'!$F$7,'Ambient &amp; Traffic Page'!$F$11)-(15*LOG($A8/50)+(IF($A8&gt;1000,($A8-1000)/1000,0))+IF($A8&gt;4000,2,(IF($A8&gt;2000,($A8-2000)/1000,0))))</f>
        <v>-4.259687322722812</v>
      </c>
      <c r="D8" s="13" t="e">
        <f>'Construction Page'!$F$14-(20*LOG($A8/50)+(IF($A8&gt;1000,($A8-1000)/1000,0))+IF($A8&gt;4000,2,(IF($A8&gt;2000,($A8-2000)/1000,0))))</f>
        <v>#NUM!</v>
      </c>
      <c r="E8" s="13" t="e">
        <f>'Construction Page'!$F$14-(25*LOG($A8/50)+(IF($A8&gt;1000,($A8-1000)/1000,0))+IF($A8&gt;4000,2,(IF($A8&gt;2000,($A8-2000)/1000,0))))</f>
        <v>#NUM!</v>
      </c>
      <c r="F8" s="13">
        <f>10*LOG(10^(C8/10)+10^('Ambient &amp; Traffic Page'!$M$2/10))</f>
        <v>1.3830269816628147</v>
      </c>
    </row>
    <row r="9" spans="1:6" ht="12.75">
      <c r="A9" s="2">
        <f t="shared" si="0"/>
        <v>400</v>
      </c>
      <c r="B9" s="13">
        <f>IF('Ambient &amp; Traffic Page'!$F$7&gt;='Ambient &amp; Traffic Page'!$F$11,'Ambient &amp; Traffic Page'!$F$7,'Ambient &amp; Traffic Page'!$F$11)-(10*LOG($A9/50)+(IF($A9&gt;1000,($A9-1000)/1000,0))+IF($A9&gt;4000,2,(IF($A9&gt;2000,($A9-2000)/1000,0))))</f>
        <v>-4.259687322722812</v>
      </c>
      <c r="C9" s="13">
        <f>IF('Ambient &amp; Traffic Page'!$F$7&gt;='Ambient &amp; Traffic Page'!$F$11,'Ambient &amp; Traffic Page'!$F$7,'Ambient &amp; Traffic Page'!$F$11)-(15*LOG($A9/50)+(IF($A9&gt;1000,($A9-1000)/1000,0))+IF($A9&gt;4000,2,(IF($A9&gt;2000,($A9-2000)/1000,0))))</f>
        <v>-8.775137257682529</v>
      </c>
      <c r="D9" s="13" t="e">
        <f>'Construction Page'!$F$14-(20*LOG($A9/50)+(IF($A9&gt;1000,($A9-1000)/1000,0))+IF($A9&gt;4000,2,(IF($A9&gt;2000,($A9-2000)/1000,0))))</f>
        <v>#NUM!</v>
      </c>
      <c r="E9" s="13" t="e">
        <f>'Construction Page'!$F$14-(25*LOG($A9/50)+(IF($A9&gt;1000,($A9-1000)/1000,0))+IF($A9&gt;4000,2,(IF($A9&gt;2000,($A9-2000)/1000,0))))</f>
        <v>#NUM!</v>
      </c>
      <c r="F9" s="13">
        <f>10*LOG(10^(C9/10)+10^('Ambient &amp; Traffic Page'!$M$2/10))</f>
        <v>0.5406985511266553</v>
      </c>
    </row>
    <row r="10" spans="1:6" ht="12.75">
      <c r="A10" s="2">
        <f t="shared" si="0"/>
        <v>800</v>
      </c>
      <c r="B10" s="13">
        <f>IF('Ambient &amp; Traffic Page'!$F$7&gt;='Ambient &amp; Traffic Page'!$F$11,'Ambient &amp; Traffic Page'!$F$7,'Ambient &amp; Traffic Page'!$F$11)-(10*LOG($A10/50)+(IF($A10&gt;1000,($A10-1000)/1000,0))+IF($A10&gt;4000,2,(IF($A10&gt;2000,($A10-2000)/1000,0))))</f>
        <v>-7.269987279362624</v>
      </c>
      <c r="C10" s="13">
        <f>IF('Ambient &amp; Traffic Page'!$F$7&gt;='Ambient &amp; Traffic Page'!$F$11,'Ambient &amp; Traffic Page'!$F$7,'Ambient &amp; Traffic Page'!$F$11)-(15*LOG($A10/50)+(IF($A10&gt;1000,($A10-1000)/1000,0))+IF($A10&gt;4000,2,(IF($A10&gt;2000,($A10-2000)/1000,0))))</f>
        <v>-13.290587192642247</v>
      </c>
      <c r="D10" s="13" t="e">
        <f>'Construction Page'!$F$14-(20*LOG($A10/50)+(IF($A10&gt;1000,($A10-1000)/1000,0))+IF($A10&gt;4000,2,(IF($A10&gt;2000,($A10-2000)/1000,0))))</f>
        <v>#NUM!</v>
      </c>
      <c r="E10" s="13" t="e">
        <f>'Construction Page'!$F$14-(25*LOG($A10/50)+(IF($A10&gt;1000,($A10-1000)/1000,0))+IF($A10&gt;4000,2,(IF($A10&gt;2000,($A10-2000)/1000,0))))</f>
        <v>#NUM!</v>
      </c>
      <c r="F10" s="13">
        <f>10*LOG(10^(C10/10)+10^('Ambient &amp; Traffic Page'!$M$2/10))</f>
        <v>0.1989482871693926</v>
      </c>
    </row>
    <row r="11" spans="1:6" ht="12.75">
      <c r="A11" s="2">
        <f t="shared" si="0"/>
        <v>1600</v>
      </c>
      <c r="B11" s="13">
        <f>IF('Ambient &amp; Traffic Page'!$F$7&gt;='Ambient &amp; Traffic Page'!$F$11,'Ambient &amp; Traffic Page'!$F$7,'Ambient &amp; Traffic Page'!$F$11)-(10*LOG($A11/50)+(IF($A11&gt;1000,($A11-1000)/1000,0))+IF($A11&gt;4000,2,(IF($A11&gt;2000,($A11-2000)/1000,0))))</f>
        <v>-10.880287236002436</v>
      </c>
      <c r="C11" s="13">
        <f>IF('Ambient &amp; Traffic Page'!$F$7&gt;='Ambient &amp; Traffic Page'!$F$11,'Ambient &amp; Traffic Page'!$F$7,'Ambient &amp; Traffic Page'!$F$11)-(15*LOG($A11/50)+(IF($A11&gt;1000,($A11-1000)/1000,0))+IF($A11&gt;4000,2,(IF($A11&gt;2000,($A11-2000)/1000,0))))</f>
        <v>-18.40603712760197</v>
      </c>
      <c r="D11" s="13" t="e">
        <f>'Construction Page'!$F$14-(20*LOG($A11/50)+(IF($A11&gt;1000,($A11-1000)/1000,0))+IF($A11&gt;4000,2,(IF($A11&gt;2000,($A11-2000)/1000,0))))</f>
        <v>#NUM!</v>
      </c>
      <c r="E11" s="13" t="e">
        <f>'Construction Page'!$F$14-(25*LOG($A11/50)+(IF($A11&gt;1000,($A11-1000)/1000,0))+IF($A11&gt;4000,2,(IF($A11&gt;2000,($A11-2000)/1000,0))))</f>
        <v>#NUM!</v>
      </c>
      <c r="F11" s="13">
        <f>10*LOG(10^(C11/10)+10^('Ambient &amp; Traffic Page'!$M$2/10))</f>
        <v>0.06223933094968746</v>
      </c>
    </row>
    <row r="12" spans="1:6" ht="12.75">
      <c r="A12" s="2">
        <f t="shared" si="0"/>
        <v>3200</v>
      </c>
      <c r="B12" s="13">
        <f>IF('Ambient &amp; Traffic Page'!$F$7&gt;='Ambient &amp; Traffic Page'!$F$11,'Ambient &amp; Traffic Page'!$F$7,'Ambient &amp; Traffic Page'!$F$11)-(10*LOG($A12/50)+(IF($A12&gt;1000,($A12-1000)/1000,0))+IF($A12&gt;4000,2,(IF($A12&gt;2000,($A12-2000)/1000,0))))</f>
        <v>-16.690587192642248</v>
      </c>
      <c r="C12" s="13">
        <f>IF('Ambient &amp; Traffic Page'!$F$7&gt;='Ambient &amp; Traffic Page'!$F$11,'Ambient &amp; Traffic Page'!$F$7,'Ambient &amp; Traffic Page'!$F$11)-(15*LOG($A12/50)+(IF($A12&gt;1000,($A12-1000)/1000,0))+IF($A12&gt;4000,2,(IF($A12&gt;2000,($A12-2000)/1000,0))))</f>
        <v>-25.72148706256168</v>
      </c>
      <c r="D12" s="13" t="e">
        <f>'Construction Page'!$F$14-(20*LOG($A12/50)+(IF($A12&gt;1000,($A12-1000)/1000,0))+IF($A12&gt;4000,2,(IF($A12&gt;2000,($A12-2000)/1000,0))))</f>
        <v>#NUM!</v>
      </c>
      <c r="E12" s="13" t="e">
        <f>'Construction Page'!$F$14-(25*LOG($A12/50)+(IF($A12&gt;1000,($A12-1000)/1000,0))+IF($A12&gt;4000,2,(IF($A12&gt;2000,($A12-2000)/1000,0))))</f>
        <v>#NUM!</v>
      </c>
      <c r="F12" s="13">
        <f>10*LOG(10^(C12/10)+10^('Ambient &amp; Traffic Page'!$M$2/10))</f>
        <v>0.011615948507373509</v>
      </c>
    </row>
    <row r="13" spans="1:6" ht="12.75">
      <c r="A13" s="2">
        <f t="shared" si="0"/>
        <v>6400</v>
      </c>
      <c r="B13" s="13">
        <f>IF('Ambient &amp; Traffic Page'!$F$7&gt;='Ambient &amp; Traffic Page'!$F$11,'Ambient &amp; Traffic Page'!$F$7,'Ambient &amp; Traffic Page'!$F$11)-(10*LOG($A13/50)+(IF($A13&gt;1000,($A13-1000)/1000,0))+IF($A13&gt;4000,2,(IF($A13&gt;2000,($A13-2000)/1000,0))))</f>
        <v>-23.70088714928206</v>
      </c>
      <c r="C13" s="13">
        <f>IF('Ambient &amp; Traffic Page'!$F$7&gt;='Ambient &amp; Traffic Page'!$F$11,'Ambient &amp; Traffic Page'!$F$7,'Ambient &amp; Traffic Page'!$F$11)-(15*LOG($A13/50)+(IF($A13&gt;1000,($A13-1000)/1000,0))+IF($A13&gt;4000,2,(IF($A13&gt;2000,($A13-2000)/1000,0))))</f>
        <v>-34.2369369975214</v>
      </c>
      <c r="D13" s="13" t="e">
        <f>'Construction Page'!$F$14-(20*LOG($A13/50)+(IF($A13&gt;1000,($A13-1000)/1000,0))+IF($A13&gt;4000,2,(IF($A13&gt;2000,($A13-2000)/1000,0))))</f>
        <v>#NUM!</v>
      </c>
      <c r="E13" s="13" t="e">
        <f>'Construction Page'!$F$14-(25*LOG($A13/50)+(IF($A13&gt;1000,($A13-1000)/1000,0))+IF($A13&gt;4000,2,(IF($A13&gt;2000,($A13-2000)/1000,0))))</f>
        <v>#NUM!</v>
      </c>
      <c r="F13" s="13">
        <f>10*LOG(10^(C13/10)+10^('Ambient &amp; Traffic Page'!$M$2/10))</f>
        <v>0.0016368495619040746</v>
      </c>
    </row>
    <row r="14" spans="1:6" ht="12.75">
      <c r="A14" s="2">
        <f t="shared" si="0"/>
        <v>12800</v>
      </c>
      <c r="B14" s="13">
        <f>IF('Ambient &amp; Traffic Page'!$F$7&gt;='Ambient &amp; Traffic Page'!$F$11,'Ambient &amp; Traffic Page'!$F$7,'Ambient &amp; Traffic Page'!$F$11)-(10*LOG($A14/50)+(IF($A14&gt;1000,($A14-1000)/1000,0))+IF($A14&gt;4000,2,(IF($A14&gt;2000,($A14-2000)/1000,0))))</f>
        <v>-33.11118710592187</v>
      </c>
      <c r="C14" s="13">
        <f>IF('Ambient &amp; Traffic Page'!$F$7&gt;='Ambient &amp; Traffic Page'!$F$11,'Ambient &amp; Traffic Page'!$F$7,'Ambient &amp; Traffic Page'!$F$11)-(15*LOG($A14/50)+(IF($A14&gt;1000,($A14-1000)/1000,0))+IF($A14&gt;4000,2,(IF($A14&gt;2000,($A14-2000)/1000,0))))</f>
        <v>-45.15238693248112</v>
      </c>
      <c r="D14" s="13" t="e">
        <f>'Construction Page'!$F$14-(20*LOG($A14/50)+(IF($A14&gt;1000,($A14-1000)/1000,0))+IF($A14&gt;4000,2,(IF($A14&gt;2000,($A14-2000)/1000,0))))</f>
        <v>#NUM!</v>
      </c>
      <c r="E14" s="13" t="e">
        <f>'Construction Page'!$F$14-(25*LOG($A14/50)+(IF($A14&gt;1000,($A14-1000)/1000,0))+IF($A14&gt;4000,2,(IF($A14&gt;2000,($A14-2000)/1000,0))))</f>
        <v>#NUM!</v>
      </c>
      <c r="F14" s="13">
        <f>10*LOG(10^(C14/10)+10^('Ambient &amp; Traffic Page'!$M$2/10))</f>
        <v>0.00013259861507425378</v>
      </c>
    </row>
    <row r="15" spans="1:6" ht="12.75">
      <c r="A15" s="2">
        <f t="shared" si="0"/>
        <v>25600</v>
      </c>
      <c r="B15" s="13">
        <f>IF('Ambient &amp; Traffic Page'!$F$7&gt;='Ambient &amp; Traffic Page'!$F$11,'Ambient &amp; Traffic Page'!$F$7,'Ambient &amp; Traffic Page'!$F$11)-(10*LOG($A15/50)+(IF($A15&gt;1000,($A15-1000)/1000,0))+IF($A15&gt;4000,2,(IF($A15&gt;2000,($A15-2000)/1000,0))))</f>
        <v>-48.92148706256168</v>
      </c>
      <c r="C15" s="13">
        <f>IF('Ambient &amp; Traffic Page'!$F$7&gt;='Ambient &amp; Traffic Page'!$F$11,'Ambient &amp; Traffic Page'!$F$7,'Ambient &amp; Traffic Page'!$F$11)-(15*LOG($A15/50)+(IF($A15&gt;1000,($A15-1000)/1000,0))+IF($A15&gt;4000,2,(IF($A15&gt;2000,($A15-2000)/1000,0))))</f>
        <v>-62.46783686744084</v>
      </c>
      <c r="D15" s="13" t="e">
        <f>'Construction Page'!$F$14-(20*LOG($A15/50)+(IF($A15&gt;1000,($A15-1000)/1000,0))+IF($A15&gt;4000,2,(IF($A15&gt;2000,($A15-2000)/1000,0))))</f>
        <v>#NUM!</v>
      </c>
      <c r="E15" s="13" t="e">
        <f>'Construction Page'!$F$14-(25*LOG($A15/50)+(IF($A15&gt;1000,($A15-1000)/1000,0))+IF($A15&gt;4000,2,(IF($A15&gt;2000,($A15-2000)/1000,0))))</f>
        <v>#NUM!</v>
      </c>
      <c r="F15" s="13">
        <f>10*LOG(10^(C15/10)+10^('Ambient &amp; Traffic Page'!$M$2/10))</f>
        <v>2.4603704454907824E-06</v>
      </c>
    </row>
    <row r="16" spans="1:6" ht="12.75">
      <c r="A16" s="2">
        <f t="shared" si="0"/>
        <v>51200</v>
      </c>
      <c r="B16" s="13">
        <f>IF('Ambient &amp; Traffic Page'!$F$7&gt;='Ambient &amp; Traffic Page'!$F$11,'Ambient &amp; Traffic Page'!$F$7,'Ambient &amp; Traffic Page'!$F$11)-(10*LOG($A16/50)+(IF($A16&gt;1000,($A16-1000)/1000,0))+IF($A16&gt;4000,2,(IF($A16&gt;2000,($A16-2000)/1000,0))))</f>
        <v>-77.5317870192015</v>
      </c>
      <c r="C16" s="13">
        <f>IF('Ambient &amp; Traffic Page'!$F$7&gt;='Ambient &amp; Traffic Page'!$F$11,'Ambient &amp; Traffic Page'!$F$7,'Ambient &amp; Traffic Page'!$F$11)-(15*LOG($A16/50)+(IF($A16&gt;1000,($A16-1000)/1000,0))+IF($A16&gt;4000,2,(IF($A16&gt;2000,($A16-2000)/1000,0))))</f>
        <v>-92.58328680240055</v>
      </c>
      <c r="D16" s="13" t="e">
        <f>'Construction Page'!$F$14-(20*LOG($A16/50)+(IF($A16&gt;1000,($A16-1000)/1000,0))+IF($A16&gt;4000,2,(IF($A16&gt;2000,($A16-2000)/1000,0))))</f>
        <v>#NUM!</v>
      </c>
      <c r="E16" s="13" t="e">
        <f>'Construction Page'!$F$14-(25*LOG($A16/50)+(IF($A16&gt;1000,($A16-1000)/1000,0))+IF($A16&gt;4000,2,(IF($A16&gt;2000,($A16-2000)/1000,0))))</f>
        <v>#NUM!</v>
      </c>
      <c r="F16" s="13">
        <f>10*LOG(10^(C16/10)+10^('Ambient &amp; Traffic Page'!$M$2/10))</f>
        <v>2.395828195254806E-09</v>
      </c>
    </row>
    <row r="17" spans="1:6" ht="12.75">
      <c r="A17" s="2">
        <f t="shared" si="0"/>
        <v>102400</v>
      </c>
      <c r="B17" s="13">
        <f>IF('Ambient &amp; Traffic Page'!$F$7&gt;='Ambient &amp; Traffic Page'!$F$11,'Ambient &amp; Traffic Page'!$F$7,'Ambient &amp; Traffic Page'!$F$11)-(10*LOG($A17/50)+(IF($A17&gt;1000,($A17-1000)/1000,0))+IF($A17&gt;4000,2,(IF($A17&gt;2000,($A17-2000)/1000,0))))</f>
        <v>-131.74208697584132</v>
      </c>
      <c r="C17" s="13">
        <f>IF('Ambient &amp; Traffic Page'!$F$7&gt;='Ambient &amp; Traffic Page'!$F$11,'Ambient &amp; Traffic Page'!$F$7,'Ambient &amp; Traffic Page'!$F$11)-(15*LOG($A17/50)+(IF($A17&gt;1000,($A17-1000)/1000,0))+IF($A17&gt;4000,2,(IF($A17&gt;2000,($A17-2000)/1000,0))))</f>
        <v>-148.2987367373603</v>
      </c>
      <c r="D17" s="13" t="e">
        <f>'Construction Page'!$F$14-(20*LOG($A17/50)+(IF($A17&gt;1000,($A17-1000)/1000,0))+IF($A17&gt;4000,2,(IF($A17&gt;2000,($A17-2000)/1000,0))))</f>
        <v>#NUM!</v>
      </c>
      <c r="E17" s="13" t="e">
        <f>'Construction Page'!$F$14-(25*LOG($A17/50)+(IF($A17&gt;1000,($A17-1000)/1000,0))+IF($A17&gt;4000,2,(IF($A17&gt;2000,($A17-2000)/1000,0))))</f>
        <v>#NUM!</v>
      </c>
      <c r="F17" s="13">
        <f>10*LOG(10^(C17/10)+10^('Ambient &amp; Traffic Page'!$M$2/10))</f>
        <v>6.750292265873005E-15</v>
      </c>
    </row>
    <row r="18" spans="1:6" ht="12.75">
      <c r="A18" s="2">
        <f t="shared" si="0"/>
        <v>204800</v>
      </c>
      <c r="B18" s="13">
        <f>IF('Ambient &amp; Traffic Page'!$F$7&gt;='Ambient &amp; Traffic Page'!$F$11,'Ambient &amp; Traffic Page'!$F$7,'Ambient &amp; Traffic Page'!$F$11)-(10*LOG($A18/50)+(IF($A18&gt;1000,($A18-1000)/1000,0))+IF($A18&gt;4000,2,(IF($A18&gt;2000,($A18-2000)/1000,0))))</f>
        <v>-237.15238693248114</v>
      </c>
      <c r="C18" s="13">
        <f>IF('Ambient &amp; Traffic Page'!$F$7&gt;='Ambient &amp; Traffic Page'!$F$11,'Ambient &amp; Traffic Page'!$F$7,'Ambient &amp; Traffic Page'!$F$11)-(15*LOG($A18/50)+(IF($A18&gt;1000,($A18-1000)/1000,0))+IF($A18&gt;4000,2,(IF($A18&gt;2000,($A18-2000)/1000,0))))</f>
        <v>-255.21418667232</v>
      </c>
      <c r="D18" s="13" t="e">
        <f>'Construction Page'!$F$14-(20*LOG($A18/50)+(IF($A18&gt;1000,($A18-1000)/1000,0))+IF($A18&gt;4000,2,(IF($A18&gt;2000,($A18-2000)/1000,0))))</f>
        <v>#NUM!</v>
      </c>
      <c r="E18" s="13" t="e">
        <f>'Construction Page'!$F$14-(25*LOG($A18/50)+(IF($A18&gt;1000,($A18-1000)/1000,0))+IF($A18&gt;4000,2,(IF($A18&gt;2000,($A18-2000)/1000,0))))</f>
        <v>#NUM!</v>
      </c>
      <c r="F18" s="13">
        <f>10*LOG(10^(C18/10)+10^('Ambient &amp; Traffic Page'!$M$2/10))</f>
        <v>0</v>
      </c>
    </row>
    <row r="19" spans="1:6" ht="12.75">
      <c r="A19" s="2">
        <f t="shared" si="0"/>
        <v>409600</v>
      </c>
      <c r="B19" s="13">
        <f>IF('Ambient &amp; Traffic Page'!$F$7&gt;='Ambient &amp; Traffic Page'!$F$11,'Ambient &amp; Traffic Page'!$F$7,'Ambient &amp; Traffic Page'!$F$11)-(10*LOG($A19/50)+(IF($A19&gt;1000,($A19-1000)/1000,0))+IF($A19&gt;4000,2,(IF($A19&gt;2000,($A19-2000)/1000,0))))</f>
        <v>-444.96268688912096</v>
      </c>
      <c r="C19" s="13">
        <f>IF('Ambient &amp; Traffic Page'!$F$7&gt;='Ambient &amp; Traffic Page'!$F$11,'Ambient &amp; Traffic Page'!$F$7,'Ambient &amp; Traffic Page'!$F$11)-(15*LOG($A19/50)+(IF($A19&gt;1000,($A19-1000)/1000,0))+IF($A19&gt;4000,2,(IF($A19&gt;2000,($A19-2000)/1000,0))))</f>
        <v>-464.5296366072797</v>
      </c>
      <c r="D19" s="13" t="e">
        <f>'Construction Page'!$F$14-(20*LOG($A19/50)+(IF($A19&gt;1000,($A19-1000)/1000,0))+IF($A19&gt;4000,2,(IF($A19&gt;2000,($A19-2000)/1000,0))))</f>
        <v>#NUM!</v>
      </c>
      <c r="E19" s="13" t="e">
        <f>'Construction Page'!$F$14-(25*LOG($A19/50)+(IF($A19&gt;1000,($A19-1000)/1000,0))+IF($A19&gt;4000,2,(IF($A19&gt;2000,($A19-2000)/1000,0))))</f>
        <v>#NUM!</v>
      </c>
      <c r="F19" s="13">
        <f>10*LOG(10^(C19/10)+10^('Ambient &amp; Traffic Page'!$M$2/10))</f>
        <v>0</v>
      </c>
    </row>
    <row r="20" spans="1:6" ht="12.75">
      <c r="A20" s="2">
        <f t="shared" si="0"/>
        <v>819200</v>
      </c>
      <c r="B20" s="13">
        <f>IF('Ambient &amp; Traffic Page'!$F$7&gt;='Ambient &amp; Traffic Page'!$F$11,'Ambient &amp; Traffic Page'!$F$7,'Ambient &amp; Traffic Page'!$F$11)-(10*LOG($A20/50)+(IF($A20&gt;1000,($A20-1000)/1000,0))+IF($A20&gt;4000,2,(IF($A20&gt;2000,($A20-2000)/1000,0))))</f>
        <v>-857.5729868457609</v>
      </c>
      <c r="C20" s="13">
        <f>IF('Ambient &amp; Traffic Page'!$F$7&gt;='Ambient &amp; Traffic Page'!$F$11,'Ambient &amp; Traffic Page'!$F$7,'Ambient &amp; Traffic Page'!$F$11)-(15*LOG($A20/50)+(IF($A20&gt;1000,($A20-1000)/1000,0))+IF($A20&gt;4000,2,(IF($A20&gt;2000,($A20-2000)/1000,0))))</f>
        <v>-878.6450865422395</v>
      </c>
      <c r="D20" s="13" t="e">
        <f>'Construction Page'!$F$14-(20*LOG($A20/50)+(IF($A20&gt;1000,($A20-1000)/1000,0))+IF($A20&gt;4000,2,(IF($A20&gt;2000,($A20-2000)/1000,0))))</f>
        <v>#NUM!</v>
      </c>
      <c r="E20" s="13" t="e">
        <f>'Construction Page'!$F$14-(25*LOG($A20/50)+(IF($A20&gt;1000,($A20-1000)/1000,0))+IF($A20&gt;4000,2,(IF($A20&gt;2000,($A20-2000)/1000,0))))</f>
        <v>#NUM!</v>
      </c>
      <c r="F20" s="13">
        <f>10*LOG(10^(C20/10)+10^('Ambient &amp; Traffic Page'!$M$2/10))</f>
        <v>0</v>
      </c>
    </row>
    <row r="21" spans="1:6" ht="12.75">
      <c r="A21" s="2">
        <f t="shared" si="0"/>
        <v>1638400</v>
      </c>
      <c r="B21" s="13">
        <f>IF('Ambient &amp; Traffic Page'!$F$7&gt;='Ambient &amp; Traffic Page'!$F$11,'Ambient &amp; Traffic Page'!$F$7,'Ambient &amp; Traffic Page'!$F$11)-(10*LOG($A21/50)+(IF($A21&gt;1000,($A21-1000)/1000,0))+IF($A21&gt;4000,2,(IF($A21&gt;2000,($A21-2000)/1000,0))))</f>
        <v>-1679.7832868024007</v>
      </c>
      <c r="C21" s="13">
        <f>IF('Ambient &amp; Traffic Page'!$F$7&gt;='Ambient &amp; Traffic Page'!$F$11,'Ambient &amp; Traffic Page'!$F$7,'Ambient &amp; Traffic Page'!$F$11)-(15*LOG($A21/50)+(IF($A21&gt;1000,($A21-1000)/1000,0))+IF($A21&gt;4000,2,(IF($A21&gt;2000,($A21-2000)/1000,0))))</f>
        <v>-1702.3605364771993</v>
      </c>
      <c r="D21" s="13" t="e">
        <f>'Construction Page'!$F$14-(20*LOG($A21/50)+(IF($A21&gt;1000,($A21-1000)/1000,0))+IF($A21&gt;4000,2,(IF($A21&gt;2000,($A21-2000)/1000,0))))</f>
        <v>#NUM!</v>
      </c>
      <c r="E21" s="13" t="e">
        <f>'Construction Page'!$F$14-(25*LOG($A21/50)+(IF($A21&gt;1000,($A21-1000)/1000,0))+IF($A21&gt;4000,2,(IF($A21&gt;2000,($A21-2000)/1000,0))))</f>
        <v>#NUM!</v>
      </c>
      <c r="F21" s="13">
        <f>10*LOG(10^(C21/10)+10^('Ambient &amp; Traffic Page'!$M$2/10))</f>
        <v>0</v>
      </c>
    </row>
    <row r="22" spans="1:6" ht="12.75">
      <c r="A22" s="2">
        <f t="shared" si="0"/>
        <v>3276800</v>
      </c>
      <c r="B22" s="13">
        <f>IF('Ambient &amp; Traffic Page'!$F$7&gt;='Ambient &amp; Traffic Page'!$F$11,'Ambient &amp; Traffic Page'!$F$7,'Ambient &amp; Traffic Page'!$F$11)-(10*LOG($A22/50)+(IF($A22&gt;1000,($A22-1000)/1000,0))+IF($A22&gt;4000,2,(IF($A22&gt;2000,($A22-2000)/1000,0))))</f>
        <v>-3321.1935867590405</v>
      </c>
      <c r="C22" s="13">
        <f>IF('Ambient &amp; Traffic Page'!$F$7&gt;='Ambient &amp; Traffic Page'!$F$11,'Ambient &amp; Traffic Page'!$F$7,'Ambient &amp; Traffic Page'!$F$11)-(15*LOG($A22/50)+(IF($A22&gt;1000,($A22-1000)/1000,0))+IF($A22&gt;4000,2,(IF($A22&gt;2000,($A22-2000)/1000,0))))</f>
        <v>-3345.275986412159</v>
      </c>
      <c r="D22" s="13" t="e">
        <f>'Construction Page'!$F$14-(20*LOG($A22/50)+(IF($A22&gt;1000,($A22-1000)/1000,0))+IF($A22&gt;4000,2,(IF($A22&gt;2000,($A22-2000)/1000,0))))</f>
        <v>#NUM!</v>
      </c>
      <c r="E22" s="13" t="e">
        <f>'Construction Page'!$F$14-(25*LOG($A22/50)+(IF($A22&gt;1000,($A22-1000)/1000,0))+IF($A22&gt;4000,2,(IF($A22&gt;2000,($A22-2000)/1000,0))))</f>
        <v>#NUM!</v>
      </c>
      <c r="F22" s="13">
        <f>10*LOG(10^(C22/10)+10^('Ambient &amp; Traffic Page'!$M$2/10))</f>
        <v>0</v>
      </c>
    </row>
    <row r="23" spans="1:6" ht="12.75">
      <c r="A23" s="2">
        <f t="shared" si="0"/>
        <v>6553600</v>
      </c>
      <c r="B23" s="13">
        <f>IF('Ambient &amp; Traffic Page'!$F$7&gt;='Ambient &amp; Traffic Page'!$F$11,'Ambient &amp; Traffic Page'!$F$7,'Ambient &amp; Traffic Page'!$F$11)-(10*LOG($A23/50)+(IF($A23&gt;1000,($A23-1000)/1000,0))+IF($A23&gt;4000,2,(IF($A23&gt;2000,($A23-2000)/1000,0))))</f>
        <v>-6601.003886715681</v>
      </c>
      <c r="C23" s="13">
        <f>IF('Ambient &amp; Traffic Page'!$F$7&gt;='Ambient &amp; Traffic Page'!$F$11,'Ambient &amp; Traffic Page'!$F$7,'Ambient &amp; Traffic Page'!$F$11)-(15*LOG($A23/50)+(IF($A23&gt;1000,($A23-1000)/1000,0))+IF($A23&gt;4000,2,(IF($A23&gt;2000,($A23-2000)/1000,0))))</f>
        <v>-6626.591436347119</v>
      </c>
      <c r="D23" s="13" t="e">
        <f>'Construction Page'!$F$14-(20*LOG($A23/50)+(IF($A23&gt;1000,($A23-1000)/1000,0))+IF($A23&gt;4000,2,(IF($A23&gt;2000,($A23-2000)/1000,0))))</f>
        <v>#NUM!</v>
      </c>
      <c r="E23" s="13" t="e">
        <f>'Construction Page'!$F$14-(25*LOG($A23/50)+(IF($A23&gt;1000,($A23-1000)/1000,0))+IF($A23&gt;4000,2,(IF($A23&gt;2000,($A23-2000)/1000,0))))</f>
        <v>#NUM!</v>
      </c>
      <c r="F23" s="13">
        <f>10*LOG(10^(C23/10)+10^('Ambient &amp; Traffic Page'!$M$2/10))</f>
        <v>0</v>
      </c>
    </row>
    <row r="24" spans="1:6" ht="12.75">
      <c r="A24" s="2">
        <f t="shared" si="0"/>
        <v>13107200</v>
      </c>
      <c r="B24" s="13">
        <f>IF('Ambient &amp; Traffic Page'!$F$7&gt;='Ambient &amp; Traffic Page'!$F$11,'Ambient &amp; Traffic Page'!$F$7,'Ambient &amp; Traffic Page'!$F$11)-(10*LOG($A24/50)+(IF($A24&gt;1000,($A24-1000)/1000,0))+IF($A24&gt;4000,2,(IF($A24&gt;2000,($A24-2000)/1000,0))))</f>
        <v>-13157.614186672321</v>
      </c>
      <c r="C24" s="13">
        <f>IF('Ambient &amp; Traffic Page'!$F$7&gt;='Ambient &amp; Traffic Page'!$F$11,'Ambient &amp; Traffic Page'!$F$7,'Ambient &amp; Traffic Page'!$F$11)-(15*LOG($A24/50)+(IF($A24&gt;1000,($A24-1000)/1000,0))+IF($A24&gt;4000,2,(IF($A24&gt;2000,($A24-2000)/1000,0))))</f>
        <v>-13184.706886282078</v>
      </c>
      <c r="D24" s="13" t="e">
        <f>'Construction Page'!$F$14-(20*LOG($A24/50)+(IF($A24&gt;1000,($A24-1000)/1000,0))+IF($A24&gt;4000,2,(IF($A24&gt;2000,($A24-2000)/1000,0))))</f>
        <v>#NUM!</v>
      </c>
      <c r="E24" s="13" t="e">
        <f>'Construction Page'!$F$14-(25*LOG($A24/50)+(IF($A24&gt;1000,($A24-1000)/1000,0))+IF($A24&gt;4000,2,(IF($A24&gt;2000,($A24-2000)/1000,0))))</f>
        <v>#NUM!</v>
      </c>
      <c r="F24" s="13">
        <f>10*LOG(10^(C24/10)+10^('Ambient &amp; Traffic Page'!$M$2/10))</f>
        <v>0</v>
      </c>
    </row>
    <row r="25" spans="1:6" ht="12.75">
      <c r="A25" s="2">
        <f t="shared" si="0"/>
        <v>26214400</v>
      </c>
      <c r="B25" s="13">
        <f>IF('Ambient &amp; Traffic Page'!$F$7&gt;='Ambient &amp; Traffic Page'!$F$11,'Ambient &amp; Traffic Page'!$F$7,'Ambient &amp; Traffic Page'!$F$11)-(10*LOG($A25/50)+(IF($A25&gt;1000,($A25-1000)/1000,0))+IF($A25&gt;4000,2,(IF($A25&gt;2000,($A25-2000)/1000,0))))</f>
        <v>-26267.824486628964</v>
      </c>
      <c r="C25" s="13">
        <f>IF('Ambient &amp; Traffic Page'!$F$7&gt;='Ambient &amp; Traffic Page'!$F$11,'Ambient &amp; Traffic Page'!$F$7,'Ambient &amp; Traffic Page'!$F$11)-(15*LOG($A25/50)+(IF($A25&gt;1000,($A25-1000)/1000,0))+IF($A25&gt;4000,2,(IF($A25&gt;2000,($A25-2000)/1000,0))))</f>
        <v>-26296.42233621704</v>
      </c>
      <c r="D25" s="13" t="e">
        <f>'Construction Page'!$F$14-(20*LOG($A25/50)+(IF($A25&gt;1000,($A25-1000)/1000,0))+IF($A25&gt;4000,2,(IF($A25&gt;2000,($A25-2000)/1000,0))))</f>
        <v>#NUM!</v>
      </c>
      <c r="E25" s="13" t="e">
        <f>'Construction Page'!$F$14-(25*LOG($A25/50)+(IF($A25&gt;1000,($A25-1000)/1000,0))+IF($A25&gt;4000,2,(IF($A25&gt;2000,($A25-2000)/1000,0))))</f>
        <v>#NUM!</v>
      </c>
      <c r="F25" s="13">
        <f>10*LOG(10^(C25/10)+10^('Ambient &amp; Traffic Page'!$M$2/10))</f>
        <v>0</v>
      </c>
    </row>
    <row r="26" ht="12.75">
      <c r="A26" s="2"/>
    </row>
    <row r="36" s="9" customFormat="1" ht="12.75"/>
  </sheetData>
  <sheetProtection sheet="1"/>
  <mergeCells count="2">
    <mergeCell ref="B1:I1"/>
    <mergeCell ref="B3:G3"/>
  </mergeCells>
  <printOptions/>
  <pageMargins left="0.5" right="0.5" top="1" bottom="1" header="0" footer="0"/>
  <pageSetup horizontalDpi="600" verticalDpi="600" orientation="landscape" r:id="rId1"/>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codeName="Sheet5"/>
  <dimension ref="A1:D6"/>
  <sheetViews>
    <sheetView zoomScalePageLayoutView="0" workbookViewId="0" topLeftCell="A1">
      <selection activeCell="A1" sqref="A1"/>
    </sheetView>
  </sheetViews>
  <sheetFormatPr defaultColWidth="9.140625" defaultRowHeight="12.75"/>
  <cols>
    <col min="1" max="1" width="18.140625" style="19" customWidth="1"/>
    <col min="2" max="2" width="47.140625" style="9" customWidth="1"/>
    <col min="3" max="3" width="44.140625" style="9" customWidth="1"/>
    <col min="4" max="4" width="12.00390625" style="0" bestFit="1" customWidth="1"/>
  </cols>
  <sheetData>
    <row r="1" spans="1:4" s="19" customFormat="1" ht="25.5">
      <c r="A1" s="19" t="s">
        <v>63</v>
      </c>
      <c r="B1" s="19" t="s">
        <v>61</v>
      </c>
      <c r="C1" s="19" t="s">
        <v>64</v>
      </c>
      <c r="D1" s="19" t="s">
        <v>62</v>
      </c>
    </row>
    <row r="2" spans="1:4" ht="63.75">
      <c r="A2" s="19" t="s">
        <v>73</v>
      </c>
      <c r="B2" s="38" t="s">
        <v>74</v>
      </c>
      <c r="C2" s="38" t="s">
        <v>75</v>
      </c>
      <c r="D2" s="39">
        <v>39704</v>
      </c>
    </row>
    <row r="3" spans="1:4" ht="38.25">
      <c r="A3" s="19" t="s">
        <v>79</v>
      </c>
      <c r="B3" s="38" t="s">
        <v>80</v>
      </c>
      <c r="C3" s="38" t="s">
        <v>83</v>
      </c>
      <c r="D3" s="39">
        <v>40115</v>
      </c>
    </row>
    <row r="4" spans="1:4" ht="51">
      <c r="A4" s="19" t="s">
        <v>76</v>
      </c>
      <c r="B4" s="38" t="s">
        <v>77</v>
      </c>
      <c r="C4" s="38" t="s">
        <v>78</v>
      </c>
      <c r="D4" s="39">
        <v>39751</v>
      </c>
    </row>
    <row r="5" spans="1:4" ht="38.25">
      <c r="A5" s="38" t="s">
        <v>93</v>
      </c>
      <c r="B5" s="38" t="s">
        <v>94</v>
      </c>
      <c r="C5" s="38" t="s">
        <v>95</v>
      </c>
      <c r="D5" s="39">
        <v>39854</v>
      </c>
    </row>
    <row r="6" spans="1:4" ht="38.25">
      <c r="A6" s="19" t="s">
        <v>152</v>
      </c>
      <c r="B6" s="9" t="s">
        <v>153</v>
      </c>
      <c r="C6" s="9" t="s">
        <v>154</v>
      </c>
      <c r="D6" s="117">
        <v>44307</v>
      </c>
    </row>
  </sheetData>
  <sheetProtection sheet="1"/>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Noise Action Area Model</dc:title>
  <dc:subject>Construction Noise Model to determine at what point sound will drop to packground.</dc:subject>
  <dc:creator>Larry J. Magnoni</dc:creator>
  <cp:keywords/>
  <dc:description/>
  <cp:lastModifiedBy>Dreier, Jeff</cp:lastModifiedBy>
  <cp:lastPrinted>2009-02-10T17:38:14Z</cp:lastPrinted>
  <dcterms:created xsi:type="dcterms:W3CDTF">2004-10-04T18:57:27Z</dcterms:created>
  <dcterms:modified xsi:type="dcterms:W3CDTF">2022-02-23T21:51:14Z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